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50" windowHeight="8850" tabRatio="580" activeTab="6"/>
  </bookViews>
  <sheets>
    <sheet name="Resumo" sheetId="1" r:id="rId1"/>
    <sheet name="Orçamento Válido" sheetId="2" r:id="rId2"/>
    <sheet name="Composições" sheetId="3" r:id="rId3"/>
    <sheet name="CRONOGRAMA " sheetId="4" r:id="rId4"/>
    <sheet name="BDI" sheetId="5" r:id="rId5"/>
    <sheet name="LS" sheetId="6" r:id="rId6"/>
    <sheet name="LS MEN" sheetId="7" r:id="rId7"/>
  </sheets>
  <externalReferences>
    <externalReference r:id="rId10"/>
  </externalReferences>
  <definedNames>
    <definedName name="a">'[1]Resumo'!#REF!</definedName>
    <definedName name="aa">#REF!</definedName>
    <definedName name="_xlnm.Print_Area" localSheetId="2">'Composições'!$A$1:$J$177</definedName>
    <definedName name="_xlnm.Print_Area" localSheetId="3">'CRONOGRAMA '!$A$1:$P$48</definedName>
    <definedName name="_xlnm.Print_Area" localSheetId="1">'Orçamento Válido'!$A$1:$I$228</definedName>
    <definedName name="Excel_BuiltIn__FilterDatabase">'Orçamento Válido'!$A$12:$I$228</definedName>
    <definedName name="Excel_BuiltIn_Print_Area_1">#REF!</definedName>
    <definedName name="Excel_BuiltIn_Print_Area_1_1">#REF!</definedName>
    <definedName name="Excel_BuiltIn_Print_Area_2">'Resumo'!#REF!</definedName>
    <definedName name="Excel_BuiltIn_Print_Area_3">#REF!</definedName>
    <definedName name="Excel_BuiltIn_Print_Area_4">#REF!</definedName>
    <definedName name="Excel_BuiltIn_Print_Area_4_1">#REF!</definedName>
    <definedName name="Excel_BuiltIn_Print_Titles_1">#REF!</definedName>
    <definedName name="Excel_BuiltIn_Print_Titles_1_1">(#REF!,#REF!)</definedName>
    <definedName name="_xlnm.Print_Titles" localSheetId="1">'Orçamento Válido'!$1:$11</definedName>
    <definedName name="_xlnm.Print_Titles" localSheetId="0">'Resumo'!$1:$9</definedName>
  </definedNames>
  <calcPr fullCalcOnLoad="1" fullPrecision="0"/>
</workbook>
</file>

<file path=xl/sharedStrings.xml><?xml version="1.0" encoding="utf-8"?>
<sst xmlns="http://schemas.openxmlformats.org/spreadsheetml/2006/main" count="1414" uniqueCount="790">
  <si>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</si>
  <si>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Item</t>
  </si>
  <si>
    <t>Código</t>
  </si>
  <si>
    <t>Serviço</t>
  </si>
  <si>
    <t>Un.</t>
  </si>
  <si>
    <t>Quant.</t>
  </si>
  <si>
    <t>Preço unit.</t>
  </si>
  <si>
    <t>Preço total</t>
  </si>
  <si>
    <t>% sobre total</t>
  </si>
  <si>
    <t>Preço final com BDI</t>
  </si>
  <si>
    <t>1.0</t>
  </si>
  <si>
    <t>2.0</t>
  </si>
  <si>
    <t>TOTAL GERAL DA OBRA</t>
  </si>
  <si>
    <t>Observação:</t>
  </si>
  <si>
    <t>4) Os valores correspondentes a aquisição, carga, transporte e descarga dos materiais, custo da mão de obra e de equipamentos, quando não explicitados, estão incluídos nos preços unitários.</t>
  </si>
  <si>
    <t>Serviços</t>
  </si>
  <si>
    <t>Valor do sub-item</t>
  </si>
  <si>
    <t xml:space="preserve">% sobre total </t>
  </si>
  <si>
    <t>TOTAL GLOBAL</t>
  </si>
  <si>
    <t>Demolição e remoção de pavimento asfáltico</t>
  </si>
  <si>
    <t>1.1</t>
  </si>
  <si>
    <t>COMPOSIÇÃO</t>
  </si>
  <si>
    <t>m²</t>
  </si>
  <si>
    <t>m³</t>
  </si>
  <si>
    <t>CÓD.</t>
  </si>
  <si>
    <t>EQUIPAMENTO</t>
  </si>
  <si>
    <t>COND. DE TRAB.</t>
  </si>
  <si>
    <t>UTILIZAÇÃO</t>
  </si>
  <si>
    <t>CUSTO OPERACIONAL</t>
  </si>
  <si>
    <t>QUANT</t>
  </si>
  <si>
    <t>PROD</t>
  </si>
  <si>
    <t>IMPR</t>
  </si>
  <si>
    <t xml:space="preserve"> CUSTO HORÁRIO</t>
  </si>
  <si>
    <t>Martelete man. e mec. RH 658  110 pcm/24kg (ATLAS) ou equivalente</t>
  </si>
  <si>
    <t>( A ) TOTAL</t>
  </si>
  <si>
    <t>MÃO DE OBRA SUPLEMENTAR</t>
  </si>
  <si>
    <t>K ou R</t>
  </si>
  <si>
    <t>QUANTIDADE</t>
  </si>
  <si>
    <t>SALÁRIO HORA</t>
  </si>
  <si>
    <t>h</t>
  </si>
  <si>
    <t>Servente</t>
  </si>
  <si>
    <t>( B ) TOTAL</t>
  </si>
  <si>
    <t>( C ) ADICIONAL DE FERRAMENTAS MANUAIS (0%)</t>
  </si>
  <si>
    <t xml:space="preserve"> ( D ) PRODUÇÃO DA EQUIPE</t>
  </si>
  <si>
    <t>CUSTO UNITÁRIO DA EXECUÇÃO ( A + B + C) / D = ( E )</t>
  </si>
  <si>
    <t>MATERIAIS</t>
  </si>
  <si>
    <t>UNIDADE</t>
  </si>
  <si>
    <t>CONSUMO</t>
  </si>
  <si>
    <t>CUSTO UNITÁRIO</t>
  </si>
  <si>
    <t>CUSTO</t>
  </si>
  <si>
    <t>( F ) TOTAL</t>
  </si>
  <si>
    <t>SERVIÇOS</t>
  </si>
  <si>
    <t>( G ) TOTAL</t>
  </si>
  <si>
    <t>TRANSPORTE</t>
  </si>
  <si>
    <t>D.M.T.</t>
  </si>
  <si>
    <t>CONSUMO (t)</t>
  </si>
  <si>
    <t>XP</t>
  </si>
  <si>
    <t>XR</t>
  </si>
  <si>
    <t>( H ) TOTAL</t>
  </si>
  <si>
    <t>CUSTO DIRETO TOTAL  ( E ) + ( F ) + ( G ) + ( H )</t>
  </si>
  <si>
    <t>BENEFÍCIOS E DESPESAS INDIRETAS</t>
  </si>
  <si>
    <t>CUSTO UNITÁRIO TOTAL</t>
  </si>
  <si>
    <t>CÓD: 001</t>
  </si>
  <si>
    <t>1.2</t>
  </si>
  <si>
    <t>Compactador manual LF-100 gasol marca de referência Honda asfal 500mm ou equivalente</t>
  </si>
  <si>
    <t>( C ) ADICIONAL DE FERRAMENTAS MANUAIS (5%)</t>
  </si>
  <si>
    <t>MATERIAIS BETUMINOSOS (BDI DIFERENCIADO)</t>
  </si>
  <si>
    <t>t</t>
  </si>
  <si>
    <t>( I ) TOTAL</t>
  </si>
  <si>
    <t>CUSTO DIRETO TOTAL  ( E ) + ( F ) + ( H ) + ( I )</t>
  </si>
  <si>
    <t>CUSTO DIRETO TOTAL COM MATERIAIS BETUMINOSOS  ( G )</t>
  </si>
  <si>
    <t>BENEFÍCIOS E DESPESAS INDIRETAS PARA MATERIAIS BETUMINOSOS</t>
  </si>
  <si>
    <t>Obturação de buracos c/ CBUQ inclusive fornecimento e transporte comercial dos materiais betuminosos em Vias Urbanas</t>
  </si>
  <si>
    <t>Data base:</t>
  </si>
  <si>
    <t>BDI:</t>
  </si>
  <si>
    <t>Prazo de Execução:</t>
  </si>
  <si>
    <t>12 meses</t>
  </si>
  <si>
    <t>Emulsao Rm 1C</t>
  </si>
  <si>
    <t>PMF (massa asfáltica) exclusive fornecimento e transporte comercial da emulsão</t>
  </si>
  <si>
    <t>Transp. de PMF (massa asfáltica)</t>
  </si>
  <si>
    <t>Transp. de Emulsao RM - 1C</t>
  </si>
  <si>
    <t>Transp. de Brita Graduada p/ PMF</t>
  </si>
  <si>
    <t>Transp. de Pó de Pedra p/ PMF</t>
  </si>
  <si>
    <t>1.3</t>
  </si>
  <si>
    <t xml:space="preserve"> 40891</t>
  </si>
  <si>
    <t>DER/ES</t>
  </si>
  <si>
    <t>1.4</t>
  </si>
  <si>
    <t>Remoção de pavimentação poliédrica</t>
  </si>
  <si>
    <t>1.5</t>
  </si>
  <si>
    <t>1.6</t>
  </si>
  <si>
    <t>1.7</t>
  </si>
  <si>
    <t>Fonte</t>
  </si>
  <si>
    <r>
      <t xml:space="preserve">Obra: </t>
    </r>
    <r>
      <rPr>
        <sz val="10"/>
        <rFont val="Arial"/>
        <family val="2"/>
      </rPr>
      <t>Serviços Continuados de Conservação e Manutenção, Corretiva e Rotineira de Vias Públicas Urbanas</t>
    </r>
  </si>
  <si>
    <t>Aquisição de solo de jazida comercial (saibreira)</t>
  </si>
  <si>
    <t>Cm 30</t>
  </si>
  <si>
    <t>Imprimação exclusive fornecimento e transporte comercial do material betuminoso em Vias Urbanas</t>
  </si>
  <si>
    <t>Base de brita graduada, inclusive fornecimento, exclusive transporte da brita em Vias Urbanas</t>
  </si>
  <si>
    <t>Transp. de CM-30</t>
  </si>
  <si>
    <t>Transp. de Brita Graduada (Base)</t>
  </si>
  <si>
    <r>
      <t xml:space="preserve">SERVIÇO: </t>
    </r>
    <r>
      <rPr>
        <sz val="10"/>
        <color indexed="8"/>
        <rFont val="Arial"/>
        <family val="2"/>
      </rPr>
      <t>Recomposição de Pavimento com PMF (4 cm) e Base de BGS (15 cm)</t>
    </r>
  </si>
  <si>
    <t>Valor total do item 1.0</t>
  </si>
  <si>
    <t>2.1</t>
  </si>
  <si>
    <t>DRENAGEM SUPERFICIAL</t>
  </si>
  <si>
    <t>Remoção de meio fio</t>
  </si>
  <si>
    <t>m</t>
  </si>
  <si>
    <t>Reparo de meio-fio, inclusive caiação</t>
  </si>
  <si>
    <t>Reparo de sarjeta, inclusive caiação</t>
  </si>
  <si>
    <t>2.2</t>
  </si>
  <si>
    <t>DRENAGEM PROFUNDA E GALERIAS URBANAS</t>
  </si>
  <si>
    <t>Escavação mecânica em material de 1ª cat. H= 1,50 a 3,00 m, em Vias Urbanas</t>
  </si>
  <si>
    <t>Reaterro  de cavas c/ compactação mecânica (compactador  manual)</t>
  </si>
  <si>
    <t>Boca de bueiro tubular em concreto ciclópico inclusive escavação, tudo incluído</t>
  </si>
  <si>
    <t>und</t>
  </si>
  <si>
    <t>SICRO</t>
  </si>
  <si>
    <t>Retroescavadeira MF 86 TM (MASSEY FERGUSSON) ou equivalente</t>
  </si>
  <si>
    <t>Tubo de PVC NBR 5648 diâmetro 75 mm, fornecimento e assentamento</t>
  </si>
  <si>
    <t>Tubo de PVC rígido série R diâmetro 100 mm, fornecimento e assentamento em Vias Urbanas</t>
  </si>
  <si>
    <t>2.3</t>
  </si>
  <si>
    <t>SERVIÇOS COMPLEMENTARES</t>
  </si>
  <si>
    <t>Valor total do item 2.0</t>
  </si>
  <si>
    <t>3.0</t>
  </si>
  <si>
    <t>SINALIZAÇÃO</t>
  </si>
  <si>
    <t>Sinalização vertical com chapa revestida em película, inclusive suporte em madeira</t>
  </si>
  <si>
    <t>Suporte  de placas  de sinalização  vertical  em madeiras  de  1ª  qualidade  pintada fornecimento e instalação</t>
  </si>
  <si>
    <t>Tela de proteção de segurança de PVC cor laranja com suporte para sinalização de obras</t>
  </si>
  <si>
    <t>3.1</t>
  </si>
  <si>
    <t>unid</t>
  </si>
  <si>
    <t>l</t>
  </si>
  <si>
    <t>Valor total do item 3.0</t>
  </si>
  <si>
    <t>4.0</t>
  </si>
  <si>
    <t>OBRAS COMPLEMENTARES</t>
  </si>
  <si>
    <t>Demolição  manual  de  concreto  simples  ou ciclópico</t>
  </si>
  <si>
    <t>Remanejamento de ligação e religação de redes de esgoto, em Vias Urbanas</t>
  </si>
  <si>
    <t>Religação de rede de água em PVC DN 25mm, inclusive coneções</t>
  </si>
  <si>
    <t>Kg</t>
  </si>
  <si>
    <t>4.1</t>
  </si>
  <si>
    <t>4.2</t>
  </si>
  <si>
    <t>4.3</t>
  </si>
  <si>
    <t>4.4</t>
  </si>
  <si>
    <t>4.5</t>
  </si>
  <si>
    <t>Valor total do item 4.0</t>
  </si>
  <si>
    <t>REMOÇÕES, BOTA-FORA E TRANSPORTES</t>
  </si>
  <si>
    <t>Disposição de resíduos sólidos provenientes de remoções de meio fio, blocos e remoções de concreto</t>
  </si>
  <si>
    <t>Disposição de Resíduos de Limpezas com Caminhão SewerJET em bota-fora adequado</t>
  </si>
  <si>
    <t>5.1</t>
  </si>
  <si>
    <t>5.2</t>
  </si>
  <si>
    <t>5.3</t>
  </si>
  <si>
    <t>6.0</t>
  </si>
  <si>
    <t>CANTEIRO, MOBILIZAÇÕES E DESMOBILIZAÇÕES</t>
  </si>
  <si>
    <t>Aluguel de container para almoxarifado</t>
  </si>
  <si>
    <t>Aluguel de container tipo refeitório simples, c/ 1 aparelho de ar condicionado, 2 luminárias e 2 janelas de vidro</t>
  </si>
  <si>
    <t>Aluguel de container tipo sanitário com 3 vasos sanitários, lavatório, mictório, 5 chuveiros, 2 venezianas e piso especial</t>
  </si>
  <si>
    <t>Rede de água c/ padrão de entrada d'água diâm. 3/4" conf. CESAN, incl. tubos e conexões p/ aliment., distrib., extravas. e limp., cons. o padrão a 25m</t>
  </si>
  <si>
    <t>Rede de esgoto, contendo fossa e filtro, incl. tubos e conexões de ligação entre caixas, considerando distância de 25m</t>
  </si>
  <si>
    <t>Rede de luz, incl. padrão entr. energia trifás. cabo ligação até barracões, quadro distrib., disj. e chave de força, cons. 20m entre padrão entr.e QDG</t>
  </si>
  <si>
    <t>Reservatório de fibra de vidro de 1000 L, incl. suporte em madeira de 7x12cm, elevado de 4m</t>
  </si>
  <si>
    <t>Tapume Telha Metálica Ondulada 0,50mm Branca h=2,20m, incl. montagem estr. mad. 8"x8", incl. faixas pint. esmalte sintético c/ h=40cm (Reaproveitamento 2x)</t>
  </si>
  <si>
    <t>Mobilização e desmobilização de caminhão basculante (máximo)</t>
  </si>
  <si>
    <t>Mobilização e desmobilização de caminhão carroceria (máximo)</t>
  </si>
  <si>
    <t>Mobilização e desmobilização de caminhão tanque (6.000 L) (máximo)</t>
  </si>
  <si>
    <t>Mobilização e desmobilização de equipamentos com carreta prancha (máximo)</t>
  </si>
  <si>
    <t>Mobilização e desmobilização de container até 50 km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</si>
  <si>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</si>
  <si>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</si>
  <si>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</si>
  <si>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</si>
  <si>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</si>
  <si>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</si>
  <si>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</si>
  <si>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</si>
  <si>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</si>
  <si>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Mes</t>
  </si>
  <si>
    <t>Valor total do item 6.0</t>
  </si>
  <si>
    <t>7.0</t>
  </si>
  <si>
    <t>ADMINISTRAÇÃO LOCAL</t>
  </si>
  <si>
    <t>Administração Local</t>
  </si>
  <si>
    <t>7.1</t>
  </si>
  <si>
    <t>SALÁRIO</t>
  </si>
  <si>
    <t>Engenheiro junior (Leis Sociais = 84,04%)</t>
  </si>
  <si>
    <t>Mês</t>
  </si>
  <si>
    <t>Técnico de estradas I (Leis Sociais = 84,04%)</t>
  </si>
  <si>
    <t>Topógrafo (Leis Sociais = 84,04%)</t>
  </si>
  <si>
    <t>Auxiliar de topografia (Leis Sociais = 84,04%)</t>
  </si>
  <si>
    <t>H</t>
  </si>
  <si>
    <t>Aluguel mensal de instrumento de topografia ( Estação Total )</t>
  </si>
  <si>
    <t>mes</t>
  </si>
  <si>
    <t>MÃO DE OBRA - (TOTAL MO)</t>
  </si>
  <si>
    <t>MATERIAIS E EQUIPAMENTOS - (TOTAL MA)</t>
  </si>
  <si>
    <t>TOTAL (MÃO DE OBRA + MATERIAIS + EQUIPAMENTOS)</t>
  </si>
  <si>
    <t>BDI INCLUSO 23,32%</t>
  </si>
  <si>
    <r>
      <t xml:space="preserve">SERVIÇO: </t>
    </r>
    <r>
      <rPr>
        <sz val="10"/>
        <color indexed="8"/>
        <rFont val="Arial"/>
        <family val="2"/>
      </rPr>
      <t>Administração Local</t>
    </r>
  </si>
  <si>
    <r>
      <t>UNIDADE:</t>
    </r>
    <r>
      <rPr>
        <sz val="10"/>
        <color indexed="8"/>
        <rFont val="Arial"/>
        <family val="2"/>
      </rPr>
      <t xml:space="preserve"> und</t>
    </r>
  </si>
  <si>
    <t>Gasolina</t>
  </si>
  <si>
    <t>TOTAL DO SERVIÇO PARA 1 MÊS</t>
  </si>
  <si>
    <t>TOTAL DO SERVIÇO PARA 12 MESES</t>
  </si>
  <si>
    <t>Valor total do item 7.0</t>
  </si>
  <si>
    <t>Caminhão carroceria L 1319 PBT=13,9t (TOCO 8,0t)</t>
  </si>
  <si>
    <t xml:space="preserve">Serviços de limpeza manual </t>
  </si>
  <si>
    <t>Feitor</t>
  </si>
  <si>
    <r>
      <t xml:space="preserve">UNIDADE: </t>
    </r>
    <r>
      <rPr>
        <sz val="10"/>
        <color indexed="8"/>
        <rFont val="Arial"/>
        <family val="2"/>
      </rPr>
      <t>h</t>
    </r>
  </si>
  <si>
    <r>
      <t xml:space="preserve">SERVIÇO: </t>
    </r>
    <r>
      <rPr>
        <sz val="10"/>
        <color indexed="8"/>
        <rFont val="Arial"/>
        <family val="2"/>
      </rPr>
      <t xml:space="preserve">Serviços de limpeza manual </t>
    </r>
  </si>
  <si>
    <t xml:space="preserve">ESPECIFICAÇÃO: </t>
  </si>
  <si>
    <t>Destinação Final de Resíduos Sólidos Classe II (Restos de Concreto / Pavimentação)</t>
  </si>
  <si>
    <r>
      <t xml:space="preserve">SERVIÇO: </t>
    </r>
    <r>
      <rPr>
        <sz val="10"/>
        <color indexed="8"/>
        <rFont val="Arial"/>
        <family val="2"/>
      </rPr>
      <t>Disposição de resíduos sólidos provenientes de remoções de meio fio, blocos e remoções de concreto</t>
    </r>
  </si>
  <si>
    <r>
      <t xml:space="preserve">BASE: </t>
    </r>
    <r>
      <rPr>
        <sz val="10"/>
        <color indexed="8"/>
        <rFont val="Arial"/>
        <family val="2"/>
      </rPr>
      <t>Cotação de mercado</t>
    </r>
  </si>
  <si>
    <t>COTAÇÃO DE MERCADO</t>
  </si>
  <si>
    <t>2) BDI incluso = 23,32% (Leis Sociais 157,27%)</t>
  </si>
  <si>
    <t>3) Prazo estimado para execução da obra = 12 meses</t>
  </si>
  <si>
    <t>CRONOGRAMA FíSICO-FINANCEIRO</t>
  </si>
  <si>
    <t>DISCRIMINAÇÃO DOS SERVIÇOS</t>
  </si>
  <si>
    <t>1° MÊS (%)</t>
  </si>
  <si>
    <t>2° MÊS (%)</t>
  </si>
  <si>
    <t>3° MÊS (%)</t>
  </si>
  <si>
    <t>4° MÊS (%)</t>
  </si>
  <si>
    <t>5° MÊS (%)</t>
  </si>
  <si>
    <t>6° MÊS (%)</t>
  </si>
  <si>
    <t>7° MÊS (%)</t>
  </si>
  <si>
    <t>8° MÊS (%)</t>
  </si>
  <si>
    <t>9° MÊS (%)</t>
  </si>
  <si>
    <t>10° MÊS (%)</t>
  </si>
  <si>
    <t>11° MÊS (%)</t>
  </si>
  <si>
    <t>12° MÊS (%)</t>
  </si>
  <si>
    <r>
      <rPr>
        <sz val="10"/>
        <color indexed="63"/>
        <rFont val="Arial"/>
        <family val="2"/>
      </rPr>
      <t>R$</t>
    </r>
  </si>
  <si>
    <r>
      <rPr>
        <sz val="10"/>
        <color indexed="63"/>
        <rFont val="Arial"/>
        <family val="2"/>
      </rPr>
      <t>%</t>
    </r>
  </si>
  <si>
    <t>TOTAL</t>
  </si>
  <si>
    <t>PREVISÃO DE DESEMBOLSO MENSAL</t>
  </si>
  <si>
    <r>
      <rPr>
        <b/>
        <sz val="10"/>
        <color indexed="63"/>
        <rFont val="Arial"/>
        <family val="2"/>
      </rPr>
      <t>DESEMBOLSO ACUMULADO</t>
    </r>
  </si>
  <si>
    <r>
      <rPr>
        <b/>
        <sz val="10"/>
        <color indexed="63"/>
        <rFont val="Arial"/>
        <family val="2"/>
      </rPr>
      <t>% PARCIAL</t>
    </r>
  </si>
  <si>
    <r>
      <rPr>
        <b/>
        <sz val="10"/>
        <color indexed="63"/>
        <rFont val="Arial"/>
        <family val="2"/>
      </rPr>
      <t>% ACUMULADA</t>
    </r>
  </si>
  <si>
    <t xml:space="preserve">Cotação 1 </t>
  </si>
  <si>
    <t>Marca Ambiental</t>
  </si>
  <si>
    <t>COTAÇÕES</t>
  </si>
  <si>
    <t>Cotação 2</t>
  </si>
  <si>
    <t>CTRVV / CTRCI</t>
  </si>
  <si>
    <t>Cotação 3</t>
  </si>
  <si>
    <t>Norte Recicla</t>
  </si>
  <si>
    <t xml:space="preserve">COMPOSIÇÃO DO BDI </t>
  </si>
  <si>
    <t>Para Serviços</t>
  </si>
  <si>
    <t>GRUPO AC</t>
  </si>
  <si>
    <t>Despesas Financeiras</t>
  </si>
  <si>
    <t>Total Grupo A</t>
  </si>
  <si>
    <t>GRUPO B</t>
  </si>
  <si>
    <t>Administração Central</t>
  </si>
  <si>
    <t>Total Grupo B</t>
  </si>
  <si>
    <t>GRUPO C</t>
  </si>
  <si>
    <t>Bonificação/Lucro</t>
  </si>
  <si>
    <t>Total Grupo C</t>
  </si>
  <si>
    <t>GRUPO D</t>
  </si>
  <si>
    <t>Seguros / Garantia</t>
  </si>
  <si>
    <t>Riscos</t>
  </si>
  <si>
    <t>Total Grupo D</t>
  </si>
  <si>
    <t>GRUPO E</t>
  </si>
  <si>
    <t>ISS</t>
  </si>
  <si>
    <t>PIS</t>
  </si>
  <si>
    <t>COFINS</t>
  </si>
  <si>
    <t>CPRB</t>
  </si>
  <si>
    <t>Total Grupo E</t>
  </si>
  <si>
    <t>BDI Total</t>
  </si>
  <si>
    <t>OBS:</t>
  </si>
  <si>
    <t>1</t>
  </si>
  <si>
    <t>- A fórmula para cálculo da taxa a ser acrescida aos custos diretos de um</t>
  </si>
  <si>
    <t>empreendimento a título de Benefícios e Despesas Indiretas é:</t>
  </si>
  <si>
    <r>
      <t>BDI = {</t>
    </r>
    <r>
      <rPr>
        <b/>
        <u val="single"/>
        <sz val="10"/>
        <rFont val="Verdana"/>
        <family val="2"/>
      </rPr>
      <t>(1 + A)*(1 + B+D)*(1 + C)}</t>
    </r>
    <r>
      <rPr>
        <b/>
        <sz val="10"/>
        <rFont val="Verdana"/>
        <family val="2"/>
      </rPr>
      <t xml:space="preserve">  -1, onde:</t>
    </r>
  </si>
  <si>
    <t>(1 – E)</t>
  </si>
  <si>
    <t>A = DESPESAS FINANCEIRAS</t>
  </si>
  <si>
    <t>B = ADMINISTRAÇÃO CENTRAL;</t>
  </si>
  <si>
    <t>C = BENEFÍCIO / LUCRO;</t>
  </si>
  <si>
    <t>D = RISCOS, SEGUROS E GARANTIAS;</t>
  </si>
  <si>
    <t>E = ISS + PIS + COFINS+INSS</t>
  </si>
  <si>
    <t xml:space="preserve"> COMPOSIÇÃO DE LEIS SOCIAIS HORISTAS </t>
  </si>
  <si>
    <r>
      <rPr>
        <b/>
        <sz val="11"/>
        <color indexed="8"/>
        <rFont val="Calibri"/>
        <family val="2"/>
      </rPr>
      <t>GRUPO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argos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ais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Bás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s</t>
    </r>
  </si>
  <si>
    <r>
      <rPr>
        <b/>
        <sz val="11"/>
        <color indexed="8"/>
        <rFont val="Calibri"/>
        <family val="2"/>
      </rPr>
      <t>%</t>
    </r>
    <r>
      <rPr>
        <b/>
        <sz val="11"/>
        <color indexed="8"/>
        <rFont val="Calibri"/>
        <family val="2"/>
      </rPr>
      <t xml:space="preserve"> </t>
    </r>
  </si>
  <si>
    <t>A.1</t>
  </si>
  <si>
    <t>INSS (Art. 22 da Lei 8.212/91)</t>
  </si>
  <si>
    <t>A.2</t>
  </si>
  <si>
    <t>FGTS (Art. 27 do Decreto 99.684/90)</t>
  </si>
  <si>
    <t>A.3</t>
  </si>
  <si>
    <t>SESI/SESC (Lei 8.029/90 e Lei 8.036/90)</t>
  </si>
  <si>
    <t>1,80</t>
  </si>
  <si>
    <t>A.4</t>
  </si>
  <si>
    <t>SENAI/SENAC (Lei 8.029/90 e Decreto-Lei 6246/44)</t>
  </si>
  <si>
    <t>1,30</t>
  </si>
  <si>
    <t>A.5</t>
  </si>
  <si>
    <t>SEBRAE (já considerado no item A.3 e A.4)</t>
  </si>
  <si>
    <t>0,00</t>
  </si>
  <si>
    <t>A.6</t>
  </si>
  <si>
    <t>INCRA (Lei 2.613/55 e Decreto 1.146/70)</t>
  </si>
  <si>
    <t>0,20</t>
  </si>
  <si>
    <t>A.7</t>
  </si>
  <si>
    <t>SALÁRIO-EDUCAÇÃO (Decreto 87.043/82)</t>
  </si>
  <si>
    <t>2,50</t>
  </si>
  <si>
    <t>A.8</t>
  </si>
  <si>
    <t>SEGURO ACIDENTE DO TRABALHO (Lei 8.212/91 e Decreto 3.048/99)</t>
  </si>
  <si>
    <t>3,00</t>
  </si>
  <si>
    <t>A.9</t>
  </si>
  <si>
    <t>SECONCI/Medicina do Trabalho</t>
  </si>
  <si>
    <t>1,00</t>
  </si>
  <si>
    <t>TOTAL GRUPO A</t>
  </si>
  <si>
    <r>
      <rPr>
        <b/>
        <sz val="11"/>
        <color indexed="8"/>
        <rFont val="Calibri"/>
        <family val="2"/>
      </rPr>
      <t>GRUPO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argos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ais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que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recebem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nc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dên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</si>
  <si>
    <t>B.1</t>
  </si>
  <si>
    <t>Descanso Semanal Remunerado (Art. 66 da CLT e Art. 7º da CF/88)</t>
  </si>
  <si>
    <t>17,52</t>
  </si>
  <si>
    <t>B.2</t>
  </si>
  <si>
    <t>Feriados (Art. 70 da CLT e Lei 605/49)</t>
  </si>
  <si>
    <t>3,91</t>
  </si>
  <si>
    <t>B.3</t>
  </si>
  <si>
    <t>Auxílio doença e acidente do trabalho (Lei 3.607/60 e Art. 131 da CLT)</t>
  </si>
  <si>
    <t>0,76</t>
  </si>
  <si>
    <t>B.4</t>
  </si>
  <si>
    <t>Licença Paternidade (Art. 7º da CF/88)</t>
  </si>
  <si>
    <t>0,11</t>
  </si>
  <si>
    <t>B.5</t>
  </si>
  <si>
    <t>Faltas Legais (Art. 473 da CLT)</t>
  </si>
  <si>
    <t>0,67</t>
  </si>
  <si>
    <t>B.6</t>
  </si>
  <si>
    <t>13º Salário (Lei nº 4090/62)</t>
  </si>
  <si>
    <t>10,11</t>
  </si>
  <si>
    <t>B.7</t>
  </si>
  <si>
    <t>Aviso Prévio Trabalhado (Art. 7º, inciso XXI da CF/88)</t>
  </si>
  <si>
    <t>0,34</t>
  </si>
  <si>
    <t>TOTAL GRUPO B</t>
  </si>
  <si>
    <t>33,42%</t>
  </si>
  <si>
    <r>
      <rPr>
        <b/>
        <sz val="11"/>
        <color indexed="8"/>
        <rFont val="Calibri"/>
        <family val="2"/>
      </rPr>
      <t>GRUPO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argos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ais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que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não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ecebem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nc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dên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g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</t>
    </r>
  </si>
  <si>
    <t>C.1</t>
  </si>
  <si>
    <t>Dispensa sem justa causa (LC 110/01)</t>
  </si>
  <si>
    <t>5,34</t>
  </si>
  <si>
    <t>C.2</t>
  </si>
  <si>
    <t>Férias indenizadas (Art. 129 a 148 da CLT)</t>
  </si>
  <si>
    <t>11,20</t>
  </si>
  <si>
    <t>C.3</t>
  </si>
  <si>
    <t>Aviso prévio indenizado (Art. 7º, inciso XXI da CF/88)</t>
  </si>
  <si>
    <t>11,29</t>
  </si>
  <si>
    <t>C.4</t>
  </si>
  <si>
    <t>FGTS sobre aviso prévio indenizado (Súmula 305 TST)</t>
  </si>
  <si>
    <t>0,90</t>
  </si>
  <si>
    <t>C.5</t>
  </si>
  <si>
    <t>INSS sobre aviso prévio indenizado (Decreto 6.727/09)</t>
  </si>
  <si>
    <t>TOTAL GRUPO C</t>
  </si>
  <si>
    <r>
      <rPr>
        <b/>
        <sz val="11"/>
        <color indexed="8"/>
        <rFont val="Calibri"/>
        <family val="2"/>
      </rPr>
      <t>GRUPO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Re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nc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dên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d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argos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ais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bás</t>
    </r>
    <r>
      <rPr>
        <b/>
        <sz val="11"/>
        <color indexed="8"/>
        <rFont val="Calibri"/>
        <family val="2"/>
      </rPr>
      <t>i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s</t>
    </r>
  </si>
  <si>
    <t>D.1</t>
  </si>
  <si>
    <t>Incidência do grupo A sobre o grupo B</t>
  </si>
  <si>
    <t>TOTAL GRUPO D</t>
  </si>
  <si>
    <t>TOTAL DOS GRUPOS (A+B+C+D)</t>
  </si>
  <si>
    <r>
      <rPr>
        <b/>
        <sz val="11"/>
        <color indexed="8"/>
        <rFont val="Calibri"/>
        <family val="2"/>
      </rPr>
      <t>GRUPO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-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En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argos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</t>
    </r>
    <r>
      <rPr>
        <b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mplementa</t>
    </r>
    <r>
      <rPr>
        <b/>
        <sz val="11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es</t>
    </r>
  </si>
  <si>
    <t>E.1</t>
  </si>
  <si>
    <t>Refeição/alimentação (Convenção Coletiva do Trabalho 2014/2016)</t>
  </si>
  <si>
    <t>25,75%</t>
  </si>
  <si>
    <t>E.2</t>
  </si>
  <si>
    <t>Vale Transporte (Lei nº 7418/85 e Decreto 95.247/87)</t>
  </si>
  <si>
    <t>6,03%</t>
  </si>
  <si>
    <r>
      <rPr>
        <b/>
        <sz val="11"/>
        <color indexed="8"/>
        <rFont val="Calibri"/>
        <family val="2"/>
      </rPr>
      <t>E</t>
    </r>
    <r>
      <rPr>
        <b/>
        <sz val="11"/>
        <color indexed="8"/>
        <rFont val="Calibri"/>
        <family val="2"/>
      </rPr>
      <t>.</t>
    </r>
    <r>
      <rPr>
        <b/>
        <sz val="11"/>
        <color indexed="8"/>
        <rFont val="Calibri"/>
        <family val="2"/>
      </rPr>
      <t>3</t>
    </r>
  </si>
  <si>
    <t>Uniforme/equipamento de segurança (Art. 166 da CLT e NR-18 da Lei nº 6.514/77 e Convenção Coletiva do Trabalho 2014/2016)</t>
  </si>
  <si>
    <r>
      <rPr>
        <sz val="11"/>
        <color indexed="8"/>
        <rFont val="Calibri"/>
        <family val="2"/>
      </rPr>
      <t>2,67%</t>
    </r>
  </si>
  <si>
    <t>E.4</t>
  </si>
  <si>
    <t>Plano de Saúde (Convenção Coletiva do Trabalho 2014/2016)</t>
  </si>
  <si>
    <t>7,98%</t>
  </si>
  <si>
    <t>TOTAL GRUPO E</t>
  </si>
  <si>
    <t>42,43%</t>
  </si>
  <si>
    <t>TOTAL DOS GRUPO (A+B+C+D+E)</t>
  </si>
  <si>
    <t>COMPOSIÇÃO DE LEIS SOCIAIS MENSALISTA</t>
  </si>
  <si>
    <t>GRUPO A</t>
  </si>
  <si>
    <t xml:space="preserve">INSS </t>
  </si>
  <si>
    <t>SESI</t>
  </si>
  <si>
    <t>SENAI</t>
  </si>
  <si>
    <t xml:space="preserve">SEBRAE </t>
  </si>
  <si>
    <t xml:space="preserve">INCRA </t>
  </si>
  <si>
    <t xml:space="preserve">SALÁRIO-EDUCAÇÃO </t>
  </si>
  <si>
    <t xml:space="preserve">SEGURO ACIDENTE DO TRABALHO </t>
  </si>
  <si>
    <t>FGTS</t>
  </si>
  <si>
    <t>SUBTOTAL GRUPO A</t>
  </si>
  <si>
    <t>FÉRIAS</t>
  </si>
  <si>
    <t>AVISO PRÉVIO TRABALHADO (90%)</t>
  </si>
  <si>
    <t>AUXILIO ENFERMIDADE</t>
  </si>
  <si>
    <t>GRATIFICAÇÃO NATALINA (13º SALÁRIO)</t>
  </si>
  <si>
    <t>AVISO PRÉVIO INDENIZADO</t>
  </si>
  <si>
    <t>LICENÇA PATERNIDADE</t>
  </si>
  <si>
    <t>AUSÊNCIA ABONADA</t>
  </si>
  <si>
    <t>ACIDENTES NO TRABALHO</t>
  </si>
  <si>
    <t>SUBTOTAL GRUPO B</t>
  </si>
  <si>
    <t xml:space="preserve">GRUPO C </t>
  </si>
  <si>
    <t>DEPOSITO POR RESCISÃO SEM JUSTA CAUSA</t>
  </si>
  <si>
    <t>ADICIONAL POR AVISO PREVIO</t>
  </si>
  <si>
    <t>AVISO PREVIO INDENIZADO (10%)</t>
  </si>
  <si>
    <t>INDENIZAÇÃO ADICIONAL</t>
  </si>
  <si>
    <t>SUBTOTAL GRUPO C</t>
  </si>
  <si>
    <t xml:space="preserve">GRUPO D </t>
  </si>
  <si>
    <t>REINCIDÊNCIA GRUPO A SOBRE GRUPO B</t>
  </si>
  <si>
    <t>REINCIDÊNCIA DO FGTS SOBRE 13º SALÁRIO</t>
  </si>
  <si>
    <t>REINCIDÊNCIA DO FGTS SOBRE AVISO PRÉVIO</t>
  </si>
  <si>
    <t>SUBTOTAL GRUPO D</t>
  </si>
  <si>
    <t>ENCARGOS COMPLEMENTARES OBRIGATÓRIOS</t>
  </si>
  <si>
    <t>SUBTOTAL GRUPO E</t>
  </si>
  <si>
    <t xml:space="preserve">TOTAL </t>
  </si>
  <si>
    <t xml:space="preserve">ORÇAMENTO DE CUSTO </t>
  </si>
  <si>
    <t>ORÇAMENTO DE CUSTO</t>
  </si>
  <si>
    <t>7.2</t>
  </si>
  <si>
    <t>7.3</t>
  </si>
  <si>
    <t>7.4</t>
  </si>
  <si>
    <t>7.5</t>
  </si>
  <si>
    <t>7.6</t>
  </si>
  <si>
    <t>7.7</t>
  </si>
  <si>
    <t>7.8</t>
  </si>
  <si>
    <t>7.9</t>
  </si>
  <si>
    <t>8.0</t>
  </si>
  <si>
    <t>8.1</t>
  </si>
  <si>
    <t>SINAPI 09/2019</t>
  </si>
  <si>
    <t>PODA EM ALTURA DE ÁRVORE COM DIÂMETRO DE TRONCO MAIOR OU IGUAL A 0,20 M E MENOR QUE 0,40 M.</t>
  </si>
  <si>
    <t>UND</t>
  </si>
  <si>
    <t>PODA EM ALTURA DE ÁRVORE COM DIÂMETRO DE TRONCO MAIOR OU IGUAL A 0,40 M E MENOR QUE 0,60 M.</t>
  </si>
  <si>
    <t>PODA EM ALTURA DE ÁRVORE COM DIÂMETRO DE TRONCO MAIOR OU IGUAL A 0,60 M.</t>
  </si>
  <si>
    <t>PAISAGISMO E URBANIZAÇÃO.</t>
  </si>
  <si>
    <t>CORTE RASO E RECORTE DE ÁRVORE COM DIÂMETRO DE TRONCO MAIOR OU IGUAL A 0,20 M E MENOR QUE 0,40 M.</t>
  </si>
  <si>
    <t>CORTE RASO E RECORTE DE ÁRVORE COM DIÂMETRO DE TRONCO MAIOR OU IGUAL A UN  0,40 M E MENOR QUE 0,60 M.</t>
  </si>
  <si>
    <t>CORTE RASO E RECORTE DE ÁRVORE COM DIÂMETRO DE TRONCO MAIOR OU IGUAL A 0,60 M.</t>
  </si>
  <si>
    <t xml:space="preserve">REMOÇÃO DE RAÍZES REMANESCENTES DE TRONCO DE ÁRVORE COM DIÂMETRO MAIOR OU IGUAL A 0,20 M E MENOR QUE 0,40 M. </t>
  </si>
  <si>
    <t xml:space="preserve">REMOÇÃO DE RAÍZES REMANESCENTES DE TRONCO DE ÁRVORE COM DIÂMETRO MAIOR OU IGUAL A 0,40 M E MENOR QUE 0,60 M. </t>
  </si>
  <si>
    <t xml:space="preserve">REMOÇÃO DE RAÍZES REMANESCENTES DE TRONCO DE ÁRVORE COM DIÂMETRO MAIOR OU IGUAL A 0,60 M. </t>
  </si>
  <si>
    <t>M2</t>
  </si>
  <si>
    <t>Valor total do item 8.0</t>
  </si>
  <si>
    <t>Disposição de resíduos sólidos provenientes dos serviços de urbanização e paisagismo.</t>
  </si>
  <si>
    <t>Cones para sinalização, fornecimento e colocação</t>
  </si>
  <si>
    <t>DER jun/2020</t>
  </si>
  <si>
    <t>SICRO jan/21</t>
  </si>
  <si>
    <t>SINAPI jun/21</t>
  </si>
  <si>
    <t>DER-ES</t>
  </si>
  <si>
    <t>SICRO ajustado</t>
  </si>
  <si>
    <t>DER ajustado</t>
  </si>
  <si>
    <t>Tubo PEAD com paredes estruturadas para drenagem - D = 800 mm</t>
  </si>
  <si>
    <t>2003988</t>
  </si>
  <si>
    <r>
      <t xml:space="preserve">Local: </t>
    </r>
    <r>
      <rPr>
        <sz val="10"/>
        <rFont val="Arial"/>
        <family val="2"/>
      </rPr>
      <t>Diversas localidades, Munícipo de JOÃO NEIVA - ES.</t>
    </r>
  </si>
  <si>
    <t xml:space="preserve">       PREFEITURA MUNICIPAL DE JOÃO NEIVA
AV. PRESIDENTE VARGAS, 157 – CENTRO
JOÃO NEIVA – ES – CEP 29680-000
CNPJ 31.776.479/0001-86
TEL. (27)3258-3944 – www.joaoneiva.es.gov.br
</t>
  </si>
  <si>
    <t>R$</t>
  </si>
  <si>
    <t>%</t>
  </si>
  <si>
    <t xml:space="preserve">Placa de obra nas dimensões de 3,0 x 6,0 m, padrão DER-ES </t>
  </si>
  <si>
    <t xml:space="preserve">41500 </t>
  </si>
  <si>
    <t xml:space="preserve">42751 </t>
  </si>
  <si>
    <t>Corpo BSTC diâmetro 0,30 m C.S. PB inclusive escavação, reaterro e transporte do tubo em Vias Urbanas</t>
  </si>
  <si>
    <t>Poço de visita em bloco pré-moldado para d=1,20m (1,50x1,50m), em Vias Urbanas</t>
  </si>
  <si>
    <t xml:space="preserve">und </t>
  </si>
  <si>
    <t xml:space="preserve">m </t>
  </si>
  <si>
    <t xml:space="preserve">40327 </t>
  </si>
  <si>
    <t>Escoramento de cavas e valas, inclusive fornecimento e transportes das madeiras</t>
  </si>
  <si>
    <t>1.8</t>
  </si>
  <si>
    <t>1.9</t>
  </si>
  <si>
    <t>1.10</t>
  </si>
  <si>
    <t>1.11</t>
  </si>
  <si>
    <t>1.12</t>
  </si>
  <si>
    <t>1.13</t>
  </si>
  <si>
    <t>1.14</t>
  </si>
  <si>
    <t xml:space="preserve">Regularização e compactação do sub-leito (100% P.I.) H = 0,20 m </t>
  </si>
  <si>
    <t xml:space="preserve">m² </t>
  </si>
  <si>
    <t xml:space="preserve">m³ </t>
  </si>
  <si>
    <t>Sub-base c/ mistura de argila 30%, pó de pedra 30% e brita 40%, inclusive fornecimento e transporte do pó de pedra e da brita</t>
  </si>
  <si>
    <t>Passeio em concreto, largura 2,00m, acabamento em ladrilho hidráulico podotátil (L=0,40m)</t>
  </si>
  <si>
    <t>Caiação de meio fios, sarjetas, etc</t>
  </si>
  <si>
    <t>40754</t>
  </si>
  <si>
    <t>40792</t>
  </si>
  <si>
    <t>41240</t>
  </si>
  <si>
    <t>40658</t>
  </si>
  <si>
    <t>41171</t>
  </si>
  <si>
    <t>Trincheira drenante  em concreto armado, incluíndo grelhas articuladas FOFO, escavação e reaterro</t>
  </si>
  <si>
    <t>42578</t>
  </si>
  <si>
    <t>Escavação e carga de material de 1ª categoria com escavadeira em Vias Urbanas</t>
  </si>
  <si>
    <t>40683</t>
  </si>
  <si>
    <t>Descida d'água concreto armado (degraus) c/ caiação (DSA-03A) degrau</t>
  </si>
  <si>
    <t>40732</t>
  </si>
  <si>
    <t>Dissipador de energia aplicado a saída de bueiro/descida d'agua de aterro (DEB-01)</t>
  </si>
  <si>
    <t>40563</t>
  </si>
  <si>
    <t>Caixa coletora concreto armado H= 2,00m, inclusive escavação</t>
  </si>
  <si>
    <t>40670</t>
  </si>
  <si>
    <t>Sarjeta de concreto (STC - 04) calha triangular de bancada em corte, inclusive caiação</t>
  </si>
  <si>
    <t>40968</t>
  </si>
  <si>
    <t>10020</t>
  </si>
  <si>
    <t>40841</t>
  </si>
  <si>
    <t>40843</t>
  </si>
  <si>
    <t xml:space="preserve">CBUQ (camada pronta - capa) exclusive fornecimento e transportes do CAP e massa </t>
  </si>
  <si>
    <t>41360</t>
  </si>
  <si>
    <t>CBUQ (camada pronta - binder) exclusive fornecimento e transportes do CAP e massa, inclusive fornecimento e transporte da brita e pó de pedra</t>
  </si>
  <si>
    <t>Pintura de ligação exclusive fornecimento e transporte comercial do material betuminoso em Vias Urbanas</t>
  </si>
  <si>
    <t>43334</t>
  </si>
  <si>
    <t>Demolição mecânica de concreto em Vias Urbanas</t>
  </si>
  <si>
    <t>43333</t>
  </si>
  <si>
    <t>BONIFICAÇÃO SOBRE FORNECIMENTO DE MATERIAL BETUMINOSO</t>
  </si>
  <si>
    <t>Bonificação de 15,28% sobre Materiais Betuminosos</t>
  </si>
  <si>
    <t>42493</t>
  </si>
  <si>
    <t>40867</t>
  </si>
  <si>
    <t>Remoção e reassentamento de blocos de concreto, inclusive perdas</t>
  </si>
  <si>
    <t xml:space="preserve">40890 </t>
  </si>
  <si>
    <t>42499</t>
  </si>
  <si>
    <t>42483</t>
  </si>
  <si>
    <t xml:space="preserve">Emulsão RR-1C, fornecimento </t>
  </si>
  <si>
    <t xml:space="preserve">CM-30, fornecimento  </t>
  </si>
  <si>
    <t>CAP-50/70, fornecimento</t>
  </si>
  <si>
    <t>TERRAPLEGEM, PAVIMENTAÇÃO E RECUPERAÇÃO DE VIAS</t>
  </si>
  <si>
    <t>Pavimentação com blocos de concreto (35 MPa), esp.=08cm, sobre colchão de areia 5cm, inclusive fornecim. e transporte blocos e areia, em Vias Urbanas</t>
  </si>
  <si>
    <t>Recomposição de Pavimento com PMF (4 cm) e Base de BGS (15 cm), inclusive fornecimento e transporte comercial dos materiais betuminosos em Vias Urbanas</t>
  </si>
  <si>
    <t>FORNECIMENTO DE MATERIAL BETUMINOSO E ARGILA.</t>
  </si>
  <si>
    <t>42045</t>
  </si>
  <si>
    <t>2.4</t>
  </si>
  <si>
    <t>Meio fio de concreto pré-moldado (12 x 30 x 15) cm, inclusive caiação e transporte do meio fio em Vias Urbanas</t>
  </si>
  <si>
    <t>43018</t>
  </si>
  <si>
    <t>40091</t>
  </si>
  <si>
    <t>Sarjeta de concreto DP-2 (0,085 m³/m) calha triangular, inclusive caiação, em Vias Urbanas</t>
  </si>
  <si>
    <t>43079</t>
  </si>
  <si>
    <t>Corpo BSTC (greide) diâmetro 0,40 m CA-2 MF inclusive escavação, reaterro e transporte do tubo em Vias Urbanas</t>
  </si>
  <si>
    <t>Corpo BSTC (greide) diâmetro 0,60 m CA-2 PB inclusive escavação, reaterro e transporte do tubo em Vias Urbanas</t>
  </si>
  <si>
    <t>Corpo BSTC (greide) diâmetro 0,80 m CA-2 PB inclusive escavação, reaterro e transporte do tubo em Vias Urbanas</t>
  </si>
  <si>
    <t>Corpo BSTC (greide) diâmetro 1,00 m CA-2 PB inclusive escavação, reaterro e transporte do tubo em Vias Urbanas</t>
  </si>
  <si>
    <t>42767</t>
  </si>
  <si>
    <t>42763</t>
  </si>
  <si>
    <t>42759</t>
  </si>
  <si>
    <t>Escavação manual em mat. 1ª cat. H= 0,00 a 1,50 m</t>
  </si>
  <si>
    <t>42963</t>
  </si>
  <si>
    <t>43059</t>
  </si>
  <si>
    <t>Caixa ralo em blocos pré-moldados e grelha articulada em FFA em Vias Urbanas</t>
  </si>
  <si>
    <t>Canaleta com grelha DP-1, inclusive transporte da grelha em Vias Urbanas</t>
  </si>
  <si>
    <t>Grama em placas, inclusive fornecimento, plantio e transporte (sem fixação com estacas).</t>
  </si>
  <si>
    <t>Arborização para paisagismo ( mudas viveiro de espera) com altura maior que 150 cm, inclusive fornecimento, plantio e transporte.</t>
  </si>
  <si>
    <t>Arborização para paisagismo (mudas viveiro de espera) com altura até 150 cm, inclusive fornecimento, plantio e transporte.</t>
  </si>
  <si>
    <t>40137</t>
  </si>
  <si>
    <t>30001</t>
  </si>
  <si>
    <t>Caminhão basculante 1518/48C PBT=19,0t (TRUCK 12,0t)</t>
  </si>
  <si>
    <t>30029</t>
  </si>
  <si>
    <t>30109</t>
  </si>
  <si>
    <t>40925</t>
  </si>
  <si>
    <t>Sinalização horizontal TMD=400, vida útil 2 a 3 anos, taxa=0,60 L/m²</t>
  </si>
  <si>
    <t>42524</t>
  </si>
  <si>
    <t>Pintura de setas e zebrados em material termoplástico - 5 anos ( por extrusão)</t>
  </si>
  <si>
    <t>40934</t>
  </si>
  <si>
    <t>Tacha refletiva birrefletorizada, fornecimento e aplicação</t>
  </si>
  <si>
    <t>40935</t>
  </si>
  <si>
    <t>Tachão refletivo birrefletorizado, fornecimento e aplicação</t>
  </si>
  <si>
    <t>Elementos de madeira para sinalização - cavaletes</t>
  </si>
  <si>
    <t>43162</t>
  </si>
  <si>
    <t>Ondulação transversal em CBUQ (1,337XP + 1,389XR + 10,289)</t>
  </si>
  <si>
    <t>40727</t>
  </si>
  <si>
    <t>Colchão drenante de brita 1 inclusive fornecimento, espalhamento, compactação e transporte da brita em Vias Urbanas.</t>
  </si>
  <si>
    <t>Recuperação de poço de visita inclusive fornecimento tampão F.F.A.P., em Vias Urbanas.</t>
  </si>
  <si>
    <t>Tampão F.F.A.P. com 100 kg, fornecimento, assentamento e transporte.</t>
  </si>
  <si>
    <t>Reaterro com areia, tudo incluído, em Vias Urbanas.</t>
  </si>
  <si>
    <t>Caminhão tanque L 1319/48 PBT=12,9t (6.000L)</t>
  </si>
  <si>
    <t>30007</t>
  </si>
  <si>
    <t>Carregadeira de rodas ref. Caterpillar modelo 950H (3,10 m3) ( cab + ar ) ou equivalente</t>
  </si>
  <si>
    <t>30024</t>
  </si>
  <si>
    <t>Rip-rap c/ argamassa cimento areia 1:6, inclusive aquisição e transporte dos materiais.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</si>
  <si>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</si>
  <si>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</si>
  <si>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</si>
  <si>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</si>
  <si>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</si>
  <si>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</si>
  <si>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</si>
  <si>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</si>
  <si>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</si>
  <si>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</si>
  <si>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</si>
  <si>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</si>
  <si>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</si>
  <si>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</si>
  <si>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</si>
  <si>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</si>
  <si>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</si>
  <si>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</si>
  <si>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</si>
  <si>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</si>
  <si>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</si>
  <si>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</si>
  <si>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</si>
  <si>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</si>
  <si>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</si>
  <si>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</si>
  <si>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</si>
  <si>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</si>
  <si>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</si>
  <si>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</si>
  <si>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</si>
  <si>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</si>
  <si>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</si>
  <si>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</si>
  <si>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</si>
  <si>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</si>
  <si>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</si>
  <si>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</si>
  <si>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5.3.1</t>
  </si>
  <si>
    <t>5.3.2</t>
  </si>
  <si>
    <t>5.3.3</t>
  </si>
  <si>
    <t>5.3.4</t>
  </si>
  <si>
    <t>5.3.5</t>
  </si>
  <si>
    <t>5.3.6</t>
  </si>
  <si>
    <t>Valor total do item 5.1</t>
  </si>
  <si>
    <t>Poço de visita em bloco pré-moldado para d=1,00m (1,30x1,30m) (Vias Urbanas)</t>
  </si>
  <si>
    <t>Corpo BSTC (greide) diâmetro 1,20 m CA-2 PB inclusive escavação, reaterro e transporte do tubo em Vias Urbanas</t>
  </si>
  <si>
    <t>Poço de visita em bloco pré-moldado para d=0,30 e 0,40 m (0,80 x 0,8 0m), em Vias Urbanas</t>
  </si>
  <si>
    <t xml:space="preserve">43043 </t>
  </si>
  <si>
    <t>Poço de visita em bloco pré-moldado para d=0,60 m (1,00 x 1,00 m), em Vias Urbanas</t>
  </si>
  <si>
    <t>43044</t>
  </si>
  <si>
    <t>Poço de visita em bloco pré-moldado para d=0,80m (1,20x1,20m), em Vias Urbanas</t>
  </si>
  <si>
    <t>41169</t>
  </si>
  <si>
    <t>Concreto estrutural fck = 20,0 MPa, tudo incluído</t>
  </si>
  <si>
    <t>Aço CA-50, fornecimento, dobragem e colocação nas formas (preço médio das bitolas)</t>
  </si>
  <si>
    <t>Formas planas de madeira com 02 (dois) reaproveitamentos, inclusive fornecimento e transporte das madeiras</t>
  </si>
  <si>
    <t>Equipamento Vácuo SEWER JET e comb. de jato d'água à alta pressão ou equivalente.</t>
  </si>
  <si>
    <t>Valor total do item 5.2</t>
  </si>
  <si>
    <t>Valor total do item 5.3</t>
  </si>
  <si>
    <t>8.2</t>
  </si>
  <si>
    <t>8.3</t>
  </si>
  <si>
    <t>8.4</t>
  </si>
  <si>
    <t>8.5</t>
  </si>
  <si>
    <t>8.6</t>
  </si>
  <si>
    <t>9.0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</si>
  <si>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</si>
  <si>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</si>
  <si>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</si>
  <si>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</si>
  <si>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</si>
  <si>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</si>
  <si>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</si>
  <si>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</si>
  <si>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</si>
  <si>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</si>
  <si>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</si>
  <si>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</si>
  <si>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Valor total do item 9.0</t>
  </si>
  <si>
    <t>10.0</t>
  </si>
  <si>
    <t>10.1</t>
  </si>
  <si>
    <t>10.2</t>
  </si>
  <si>
    <t>10.3</t>
  </si>
  <si>
    <t>10.4</t>
  </si>
  <si>
    <t>10.5</t>
  </si>
  <si>
    <t>11.0</t>
  </si>
  <si>
    <t>11.1</t>
  </si>
  <si>
    <t>Encarregado Geral (Leis Sociais = 157,27%)</t>
  </si>
  <si>
    <t>Motorista (Leis Sociais = 157,27%)</t>
  </si>
  <si>
    <t>Vigia (Leis Sociais = 157,27%)</t>
  </si>
  <si>
    <t>Auxiliar de administraçao (Leis Sociais = 84,04%)</t>
  </si>
  <si>
    <t>Auxiliar de Serviços Gerais (Leis Sociais = 84,04%)</t>
  </si>
  <si>
    <t>Aluguel mensal de GPS geodésico dupla frequencia (L1/L2 )</t>
  </si>
  <si>
    <t>Automóvel mensal de utilitário, exclusive motoista e combustivel.</t>
  </si>
  <si>
    <t>Fresagem de pavimento asfáltico a frio, esp.=5cm inclusive transporte do material</t>
  </si>
  <si>
    <t>1.15</t>
  </si>
  <si>
    <t>Laboratorista (Leis Sociais = 84,04%)</t>
  </si>
  <si>
    <t>Laboratorista auxiliar (Leis Sociais = 84,04%)</t>
  </si>
  <si>
    <t>Berço de concreto ciclópico para BSTC diâmetro 0,40 m</t>
  </si>
  <si>
    <t>Berço de concreto ciclópico para BSTC diâmetro 0,60 m</t>
  </si>
  <si>
    <t>Berço de concreto ciclópico para BSTC diâmetro 0,80 m</t>
  </si>
  <si>
    <t>Berço de concreto ciclópico para BSTC diâmetro 1,00 m</t>
  </si>
  <si>
    <t>Berço de concreto ciclópico para BSTC diâmetro 1,20 m</t>
  </si>
  <si>
    <t>5.2.29</t>
  </si>
  <si>
    <t>5.2.30</t>
  </si>
  <si>
    <t>5.2.31</t>
  </si>
  <si>
    <t>5.2.32</t>
  </si>
  <si>
    <t>Berço em concreto ciclópico para BSTC diâmetro 0,30m</t>
  </si>
  <si>
    <t>Boca de concreto ciclópico para BSTC diâmetro 0,60 m</t>
  </si>
  <si>
    <t>Boca de concreto ciclópico para BSTC diâmetro 0,80 m</t>
  </si>
  <si>
    <t>Boca de concreto ciclópico para BSTC diâmetro 1,00 m</t>
  </si>
  <si>
    <t>Boca de concreto ciclópico para BSTC diâmetro 1,20 m</t>
  </si>
  <si>
    <t>5.2.33</t>
  </si>
  <si>
    <t>5.2.34</t>
  </si>
  <si>
    <t>5.2.35</t>
  </si>
  <si>
    <t>5.2.36</t>
  </si>
  <si>
    <t>5.2.37</t>
  </si>
  <si>
    <t>BSCC (pré-moldado) 3,00 x 3,00 x 1,00m CL 45t, inclusive transporte de Anel de Bueiro Celular Pré-moldado</t>
  </si>
  <si>
    <t>5.2.38</t>
  </si>
  <si>
    <t>Boca de BSCC 3,00 x 3,00 m projeto DNIT</t>
  </si>
  <si>
    <t>5.2.39</t>
  </si>
  <si>
    <t>5.2.40</t>
  </si>
  <si>
    <t>5.2.41</t>
  </si>
  <si>
    <t>5.2.42</t>
  </si>
  <si>
    <t>Gabião manta/colchão, malha hex 6x8mm Zn-Al/PVC, e=2,8mm,h=0,23m, inclus.aquis./ assentam. pedra mão, exclus. transp. p/ revestim. canal</t>
  </si>
  <si>
    <t>Gabiões com caixas galvanizadas com utilização de geotêxtil não tecido RT 07 kN/m, inclus. transp. madeira e pedra mão</t>
  </si>
  <si>
    <t>Rip-rap de areia inclusive escavação, transporte e fornecimento de materiais</t>
  </si>
  <si>
    <t>Reparo de muros de arrimo</t>
  </si>
  <si>
    <t>Concreto ciclópico com 70% concreto 20,0 MPa e 30% de pedra de mão, tudo incluído</t>
  </si>
  <si>
    <t>5.2.43</t>
  </si>
  <si>
    <t>5.2.44</t>
  </si>
  <si>
    <t>5.2.45</t>
  </si>
  <si>
    <t>Formas planas de madeira com 02 (dois) reaproveitamentos, inclusive fornecimento e
transporte das madeiras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</si>
  <si>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</si>
  <si>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</si>
  <si>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</si>
  <si>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</si>
  <si>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</si>
  <si>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</si>
  <si>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</si>
  <si>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</si>
  <si>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</si>
  <si>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</si>
  <si>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</si>
  <si>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</si>
  <si>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</si>
  <si>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12.0</t>
  </si>
  <si>
    <t>12.1</t>
  </si>
  <si>
    <t>Valor total do item 10.0</t>
  </si>
  <si>
    <t>Valor total do item 11.0</t>
  </si>
  <si>
    <t>Valor total do item 12.0</t>
  </si>
  <si>
    <t xml:space="preserve"> TRANSPORTE DE MATERIAIS</t>
  </si>
  <si>
    <t>REF.</t>
  </si>
  <si>
    <t>Compressor de ar XA 360/763 pcm (ATLAS) ou equivalente</t>
  </si>
  <si>
    <t>001</t>
  </si>
  <si>
    <t>Encarregado de pista</t>
  </si>
  <si>
    <r>
      <t xml:space="preserve">UNIDADE: </t>
    </r>
    <r>
      <rPr>
        <sz val="10"/>
        <color indexed="8"/>
        <rFont val="Arial"/>
        <family val="2"/>
      </rPr>
      <t>M2</t>
    </r>
  </si>
  <si>
    <r>
      <t xml:space="preserve">BASE/DATA: </t>
    </r>
    <r>
      <rPr>
        <b/>
        <sz val="10"/>
        <color indexed="8"/>
        <rFont val="Arial"/>
        <family val="2"/>
      </rPr>
      <t>DER/ES - JUN/2021.</t>
    </r>
  </si>
  <si>
    <t>Transporte de Materiais Betuminosos - Transporte de Material Asfáltico (DNIT), inclusive BDI diferenciado - Y = 0,537XP + 0,635XR + 57,238 (XP=615,90, XR=0,00)</t>
  </si>
  <si>
    <t>TR-301-00 (Massa Asfáltica), Y = 1,337XP + 1,389XR + 10,289 (XP=50,0 e XR=0,0)</t>
  </si>
  <si>
    <t xml:space="preserve">Transporte de materiais para DMT de 30,1 KM até 60,0 KM (Caminhão basculante), Y = 0,319XP + 0,338XR + 12,231 (XP=35,0 e XR=10) </t>
  </si>
  <si>
    <t xml:space="preserve">Transporte de materiais (Britados) para DMT de 30,1 KM até 60,0 KM (Caminhão basculante), Y = 0,319XP + 0,338XR + 12,231 (XP=35,0 e XR=10) </t>
  </si>
  <si>
    <t xml:space="preserve">Transporte de materiais (Argila) para DMT de 30,1 KM até 60,0 KM (Caminhão basculante), Y = 0,319XP + 0,338XR + 12,231 (XP=35,0 e XR=10) </t>
  </si>
  <si>
    <t>LOCAL COM DMT DE 5,1 A 10,0 KM (Caminhão basculante), Y = 0,889XP + 0,987XR + 1,852 (XP=4,0 e XR=3,5)</t>
  </si>
  <si>
    <t>Transporte de Resíduos de limpezas para disposição ambiental -  para DMT de 30,1 KM até 60,0 KM (Caminhão basculante), Y = 0,319XP + 0,338XR + 12,231 (XP=35,0 e XR=10).</t>
  </si>
  <si>
    <t>Transporte de materiais (bota-fora) para DMT de 30,1 KM até 60,0 KM (Caminhão basculante), Y = 0,319XP + 0,338XR + 12,231 (XP=35,0 e XR=10).</t>
  </si>
  <si>
    <t>Transporte do material oriundo da urbanização e paisagismo, para bota-fora - para DMT de 30,1 KM até 60,0 KM (Caminhão basculante), Y = 0,319XP + 0,338XR + 12,231 (XP=35,0 e XR=10).</t>
  </si>
  <si>
    <t>LOCAL COM DMT ATÉ 3,0 KM (Caminhão basculante), Y = 1,147XP + 1,268XR + 2,013 (XP=0,5 e XR=1,0)</t>
  </si>
  <si>
    <t xml:space="preserve">LOCAL COM DMT DE 3,1 A 5,0 KM (Caminhão basculante), Y = 1,029XP + 1,157XR + 1,929 (XP=2,0 e XR=2,0) </t>
  </si>
  <si>
    <t xml:space="preserve">LOCAL COM DMT DE 10,1 A 15,0 KM (Caminhão basculante), Y = 0,791XP + 0,838XR + 1,780 (XP=6,0 e XR=6,5) </t>
  </si>
  <si>
    <t>10.6</t>
  </si>
  <si>
    <t>10.7</t>
  </si>
  <si>
    <t>10.8</t>
  </si>
  <si>
    <t xml:space="preserve">Transporte de materiais para DMT de 60,1 KM até 90,0 KM (Caminhão basculante), Y = 0,319XP + 0,338XR + 12,231 (XP=65,0 e XR=10) </t>
  </si>
  <si>
    <t xml:space="preserve">Transporte de materiais para DMT de 90,1 KM até 120,0 KM (Caminhão basculante), Y = 0,319XP + 0,338XR + 12,231 (XP=95,0 e XR=10) </t>
  </si>
  <si>
    <t xml:space="preserve">Transporte de materiais para DMT de 15,0 KM até 30,0 KM (Caminhão basculante), Y = 0,319XP + 0,338XR + 12,231 (XP=12,5 e XR=10) </t>
  </si>
  <si>
    <t>0,00.</t>
  </si>
  <si>
    <t>002</t>
  </si>
  <si>
    <t>003</t>
  </si>
  <si>
    <t>004</t>
  </si>
  <si>
    <t>CÓD: 003</t>
  </si>
  <si>
    <t>CÓD: 002</t>
  </si>
  <si>
    <t>CÓD: 005</t>
  </si>
  <si>
    <t>CÓD: 004</t>
  </si>
  <si>
    <t>SERVIÇO: Trincheira drenante  em concreto armado, incluíndo grelhas articuladas FOFO, escavação e reaterro.</t>
  </si>
  <si>
    <r>
      <t>UNIDADE:</t>
    </r>
    <r>
      <rPr>
        <sz val="10"/>
        <color indexed="8"/>
        <rFont val="Arial"/>
        <family val="2"/>
      </rPr>
      <t xml:space="preserve"> M</t>
    </r>
  </si>
  <si>
    <t>UNIDADE: TON</t>
  </si>
  <si>
    <t>Aluguel mensal de laboratorio de solos</t>
  </si>
  <si>
    <t>Aluguel mensal de laboratorio de betume</t>
  </si>
  <si>
    <r>
      <t xml:space="preserve">BASE/DATA: </t>
    </r>
    <r>
      <rPr>
        <b/>
        <sz val="10"/>
        <color indexed="8"/>
        <rFont val="Arial"/>
        <family val="2"/>
      </rPr>
      <t>DER/ES - JUN/2021</t>
    </r>
  </si>
  <si>
    <t>Media adotada</t>
  </si>
  <si>
    <t>005</t>
  </si>
  <si>
    <t>5.4</t>
  </si>
  <si>
    <t>Valor total do item 5.4</t>
  </si>
  <si>
    <t>5.4.1</t>
  </si>
  <si>
    <t>5.4.2</t>
  </si>
  <si>
    <t>5.4.3</t>
  </si>
  <si>
    <t>5.4.4</t>
  </si>
  <si>
    <t>5.4.5</t>
  </si>
  <si>
    <t>5.4.6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</si>
  <si>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</si>
  <si>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</si>
  <si>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</si>
  <si>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</si>
  <si>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</si>
  <si>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</si>
  <si>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</si>
  <si>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</si>
  <si>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</si>
  <si>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</si>
  <si>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</si>
  <si>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</si>
  <si>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</si>
  <si>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PV-ANEL CONCR DN 600 PROF ATE 1,25M</t>
  </si>
  <si>
    <t>PV-ANEL CONCR DN 1000 PROF DE1,26A1,75M</t>
  </si>
  <si>
    <t>PV-ANEL CONCR DN 1000 PROF DE1,76A2,25M</t>
  </si>
  <si>
    <t>PV-ANEL CONCR DN 1200 PROF DE2,76A3,25M</t>
  </si>
  <si>
    <t>PV-ANEL CONCR DN 1200 PROF DE3,26A3,75M</t>
  </si>
  <si>
    <t>CAIXA LIGACAO PREDIAL EM ANEL CONCRETO</t>
  </si>
  <si>
    <t>TAMPA CAIXA DE LIGACAO PREDIAL ESGOTO</t>
  </si>
  <si>
    <t>ESCORAMENTO METALICO TIPO GAIOLA</t>
  </si>
  <si>
    <t>5.3.20</t>
  </si>
  <si>
    <t>CESAN</t>
  </si>
  <si>
    <t>PV-ANEL CONCR DN 1200 PROF DE3,76A4,25M</t>
  </si>
  <si>
    <t>REDE ESG PVC NBR7362 150 ATE 1,25m ASFAL</t>
  </si>
  <si>
    <t>REDE ESG PVC NBR7362 150 1,26A1,75 ASFAL</t>
  </si>
  <si>
    <t>REDE ESG PVC NBR7362 150 1,76A2,25 ASFAL</t>
  </si>
  <si>
    <t>REDE ESG PVC NBR7362 150 2,26A2,75 ASFAL</t>
  </si>
  <si>
    <t>REDE ESG PVC NBR7362 150 2,76A3,25 ASFAL</t>
  </si>
  <si>
    <t>REDE ESG PVC NBR7362 150 3,26A3,75 ASFAL</t>
  </si>
  <si>
    <t>REDE ESG PVC NBR7362 150 3,76A4,25 ASFAL</t>
  </si>
  <si>
    <t>LIG PRED ESG LONGA C/MAT ASFAL H0,6A1,0M</t>
  </si>
  <si>
    <t>LIG PRED AGUA DN 20, C/ COLAR, ASFALTO</t>
  </si>
  <si>
    <t>REDE AGUA PVC PBA 20 DN 75 ASFALTO</t>
  </si>
  <si>
    <t>PV-ANEL CONCR DN 1000 PROF DE2,26A2,75M</t>
  </si>
  <si>
    <r>
      <t xml:space="preserve">Obra: </t>
    </r>
    <r>
      <rPr>
        <sz val="12"/>
        <rFont val="Arial"/>
        <family val="2"/>
      </rPr>
      <t>Serviços Continuados de Conservação e Manutenção, Corretiva e Rotineira de Vias Públicas Urbanas</t>
    </r>
  </si>
  <si>
    <r>
      <t xml:space="preserve">Local: </t>
    </r>
    <r>
      <rPr>
        <sz val="12"/>
        <rFont val="Arial"/>
        <family val="2"/>
      </rPr>
      <t>Diversas localidades, Munícipio...</t>
    </r>
  </si>
  <si>
    <t xml:space="preserve">       PREFEITURA MUNICIPAL DE JOÃO NEIVA
AV. PRESIDENTE VARGAS, 157 – CENTRO
JOÃO NEIVA – ES – CEP 29680-000
CNPJ 31.776.479/0001-86
TEL. (27)3258-3944 – www.joaoneiva.es.gov.br</t>
  </si>
  <si>
    <t>JUNHO/2021</t>
  </si>
  <si>
    <t>1)  Preços unitários base na planilha de custos referenciais: SICRO (01/2021), DER/ES (06/21), SINAPI (11/21) e CESAN (06/21).</t>
  </si>
  <si>
    <t>TRANSPORTE DE MATERIAL BETUMINOSOS</t>
  </si>
  <si>
    <r>
      <rPr>
        <b/>
        <sz val="12"/>
        <color indexed="63"/>
        <rFont val="Arial"/>
        <family val="2"/>
      </rPr>
      <t>Obra:</t>
    </r>
    <r>
      <rPr>
        <sz val="12"/>
        <color indexed="63"/>
        <rFont val="Arial"/>
        <family val="2"/>
      </rPr>
      <t xml:space="preserve"> Serviços Continuados de Conservação e Manutenção, Corretiva e Rotineira de Vias Públicas Urbanas</t>
    </r>
  </si>
  <si>
    <r>
      <rPr>
        <b/>
        <sz val="12"/>
        <color indexed="63"/>
        <rFont val="Arial"/>
        <family val="2"/>
      </rPr>
      <t>Local:</t>
    </r>
    <r>
      <rPr>
        <sz val="12"/>
        <color indexed="63"/>
        <rFont val="Arial"/>
        <family val="2"/>
      </rPr>
      <t xml:space="preserve"> Diversas localidades, Munícipio de JOÃO NEIVA - ES.</t>
    </r>
  </si>
  <si>
    <r>
      <rPr>
        <b/>
        <sz val="11"/>
        <color indexed="63"/>
        <rFont val="Arial"/>
        <family val="2"/>
      </rPr>
      <t>ITEM</t>
    </r>
  </si>
  <si>
    <r>
      <rPr>
        <b/>
        <sz val="11"/>
        <color indexed="63"/>
        <rFont val="Arial"/>
        <family val="2"/>
      </rPr>
      <t>VALOR DAS OBRAS</t>
    </r>
  </si>
  <si>
    <t>OBRAS DE DREANGEM E ESGOTO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</si>
</sst>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dd/mm/yy"/>
    <numFmt numFmtId="180" formatCode="mm/yy"/>
    <numFmt numFmtId="181" formatCode="0.000%"/>
    <numFmt numFmtId="182" formatCode="_-* #,##0.00_-;\-* #,##0.00_-;_-* \-??_-;_-@_-"/>
    <numFmt numFmtId="183" formatCode="#,##0.000_);\(#,##0.000\)"/>
    <numFmt numFmtId="184" formatCode="#,##0.0000_);\(#,##0.0000\)"/>
    <numFmt numFmtId="185" formatCode="_(* #,##0.000_);_(* \(#,##0.000\);_(* \-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0.0000000"/>
    <numFmt numFmtId="191" formatCode="0.0000"/>
    <numFmt numFmtId="192" formatCode="0.000"/>
    <numFmt numFmtId="193" formatCode="&quot;R$&quot;\ #,##0.00"/>
    <numFmt numFmtId="194" formatCode="0.0"/>
    <numFmt numFmtId="195" formatCode="[$-416]dddd\,\ d&quot; de &quot;mmmm&quot; de &quot;yyyy"/>
    <numFmt numFmtId="196" formatCode="0.0%"/>
    <numFmt numFmtId="197" formatCode="0.00000"/>
    <numFmt numFmtId="198" formatCode="0.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#,##0.0000000000000"/>
    <numFmt numFmtId="206" formatCode="0.00;0.00;0.00"/>
    <numFmt numFmtId="207" formatCode="&quot;Ativado&quot;;&quot;Ativado&quot;;&quot;Desativado&quot;"/>
    <numFmt numFmtId="208" formatCode="&quot;R$ &quot;#,##0.00"/>
    <numFmt numFmtId="209" formatCode="&quot;R$&quot;\ #,##0.00;[Red]&quot;R$&quot;\ #,##0.00"/>
    <numFmt numFmtId="210" formatCode="#,##0.00000"/>
    <numFmt numFmtId="211" formatCode="###0;###0"/>
    <numFmt numFmtId="212" formatCode="#,##0.00;#,##0.00"/>
    <numFmt numFmtId="213" formatCode="_-* #,##0.00\ &quot;€&quot;_-;\-* #,##0.00\ &quot;€&quot;_-;_-* &quot;-&quot;??\ &quot;€&quot;_-;_-@_-"/>
    <numFmt numFmtId="214" formatCode="dd/mm/yyyy\ hh:mm:ss"/>
    <numFmt numFmtId="215" formatCode="#,##0.000"/>
    <numFmt numFmtId="216" formatCode="0.0000%"/>
    <numFmt numFmtId="217" formatCode="#,##0.000;#,##0.000"/>
    <numFmt numFmtId="218" formatCode="#,##0.0000;#,##0.0000"/>
    <numFmt numFmtId="219" formatCode="#,##0.0000"/>
  </numFmts>
  <fonts count="106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MS Serif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b/>
      <sz val="10"/>
      <name val="Bookman Old Style"/>
      <family val="1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3"/>
      <name val="Arial"/>
      <family val="2"/>
    </font>
    <font>
      <sz val="10"/>
      <color indexed="13"/>
      <name val="MS Serif"/>
      <family val="1"/>
    </font>
    <font>
      <sz val="8.5"/>
      <color indexed="13"/>
      <name val="MS Serif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-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31F20"/>
      <name val="Arial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sz val="10"/>
      <color rgb="FFFFFF00"/>
      <name val="Arial"/>
      <family val="2"/>
    </font>
    <font>
      <sz val="10"/>
      <color rgb="FFFFFF00"/>
      <name val="MS Serif"/>
      <family val="1"/>
    </font>
    <font>
      <sz val="8.5"/>
      <color rgb="FFFFFF00"/>
      <name val="MS Serif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rgb="FF231F20"/>
      <name val="Arial"/>
      <family val="2"/>
    </font>
    <font>
      <sz val="10"/>
      <color rgb="FF231F20"/>
      <name val="Arial"/>
      <family val="2"/>
    </font>
    <font>
      <b/>
      <u val="single"/>
      <sz val="10"/>
      <color theme="1"/>
      <name val="Arial"/>
      <family val="2"/>
    </font>
    <font>
      <b/>
      <sz val="14"/>
      <color rgb="FF231F20"/>
      <name val="Arial"/>
      <family val="2"/>
    </font>
    <font>
      <b/>
      <sz val="14"/>
      <color rgb="FF000000"/>
      <name val="Arial"/>
      <family val="2"/>
    </font>
    <font>
      <sz val="12"/>
      <color rgb="FF231F2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-Bold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medium"/>
      <bottom style="thin"/>
    </border>
    <border>
      <left/>
      <right style="thin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/>
      <bottom style="hair"/>
    </border>
    <border>
      <left/>
      <right style="thin"/>
      <top style="thin"/>
      <bottom style="hair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213" fontId="0" fillId="0" borderId="0" applyFill="0" applyBorder="0" applyAlignment="0" applyProtection="0"/>
    <xf numFmtId="213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5" fillId="0" borderId="0" applyFont="0" applyFill="0" applyBorder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0" fillId="0" borderId="0">
      <alignment vertical="center"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6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77" fillId="21" borderId="5" applyNumberFormat="0" applyAlignment="0" applyProtection="0"/>
    <xf numFmtId="41" fontId="0" fillId="0" borderId="0" applyFill="0" applyBorder="0" applyAlignment="0" applyProtection="0"/>
    <xf numFmtId="43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14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10" applyNumberFormat="0" applyFill="0" applyAlignment="0" applyProtection="0"/>
    <xf numFmtId="178" fontId="0" fillId="0" borderId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</cellStyleXfs>
  <cellXfs count="89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justify"/>
    </xf>
    <xf numFmtId="4" fontId="2" fillId="0" borderId="0" xfId="99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1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 wrapText="1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86" fillId="34" borderId="15" xfId="0" applyFont="1" applyFill="1" applyBorder="1" applyAlignment="1">
      <alignment horizontal="center" vertical="center"/>
    </xf>
    <xf numFmtId="0" fontId="7" fillId="34" borderId="16" xfId="59" applyFont="1" applyFill="1" applyBorder="1" applyAlignment="1">
      <alignment horizontal="center" vertical="center" wrapText="1"/>
      <protection/>
    </xf>
    <xf numFmtId="0" fontId="86" fillId="34" borderId="17" xfId="0" applyFont="1" applyFill="1" applyBorder="1" applyAlignment="1">
      <alignment horizontal="center" vertical="center" wrapText="1"/>
    </xf>
    <xf numFmtId="0" fontId="87" fillId="34" borderId="18" xfId="0" applyFont="1" applyFill="1" applyBorder="1" applyAlignment="1">
      <alignment horizontal="center" vertical="center"/>
    </xf>
    <xf numFmtId="0" fontId="87" fillId="34" borderId="19" xfId="0" applyFont="1" applyFill="1" applyBorder="1" applyAlignment="1">
      <alignment horizontal="left" vertical="center"/>
    </xf>
    <xf numFmtId="2" fontId="87" fillId="34" borderId="20" xfId="0" applyNumberFormat="1" applyFont="1" applyFill="1" applyBorder="1" applyAlignment="1">
      <alignment horizontal="center" vertical="center" wrapText="1"/>
    </xf>
    <xf numFmtId="2" fontId="87" fillId="34" borderId="21" xfId="0" applyNumberFormat="1" applyFont="1" applyFill="1" applyBorder="1" applyAlignment="1">
      <alignment horizontal="center" vertical="center"/>
    </xf>
    <xf numFmtId="2" fontId="87" fillId="34" borderId="22" xfId="0" applyNumberFormat="1" applyFont="1" applyFill="1" applyBorder="1" applyAlignment="1">
      <alignment horizontal="center" vertical="center"/>
    </xf>
    <xf numFmtId="2" fontId="87" fillId="34" borderId="23" xfId="0" applyNumberFormat="1" applyFont="1" applyFill="1" applyBorder="1" applyAlignment="1">
      <alignment horizontal="center" vertical="center"/>
    </xf>
    <xf numFmtId="2" fontId="87" fillId="34" borderId="24" xfId="0" applyNumberFormat="1" applyFont="1" applyFill="1" applyBorder="1" applyAlignment="1">
      <alignment horizontal="center" vertical="center"/>
    </xf>
    <xf numFmtId="0" fontId="87" fillId="34" borderId="25" xfId="0" applyFont="1" applyFill="1" applyBorder="1" applyAlignment="1">
      <alignment horizontal="center" vertical="center"/>
    </xf>
    <xf numFmtId="0" fontId="87" fillId="34" borderId="26" xfId="0" applyFont="1" applyFill="1" applyBorder="1" applyAlignment="1">
      <alignment horizontal="left" vertical="center"/>
    </xf>
    <xf numFmtId="193" fontId="87" fillId="34" borderId="27" xfId="0" applyNumberFormat="1" applyFont="1" applyFill="1" applyBorder="1" applyAlignment="1">
      <alignment horizontal="center" vertical="center"/>
    </xf>
    <xf numFmtId="193" fontId="87" fillId="34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3" fontId="86" fillId="35" borderId="28" xfId="0" applyNumberFormat="1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2" fontId="87" fillId="34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10" fontId="0" fillId="0" borderId="31" xfId="8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top"/>
    </xf>
    <xf numFmtId="10" fontId="6" fillId="0" borderId="33" xfId="80" applyNumberFormat="1" applyFont="1" applyFill="1" applyBorder="1" applyAlignment="1" applyProtection="1">
      <alignment vertical="center"/>
      <protection/>
    </xf>
    <xf numFmtId="4" fontId="6" fillId="33" borderId="33" xfId="0" applyNumberFormat="1" applyFont="1" applyFill="1" applyBorder="1" applyAlignment="1">
      <alignment vertical="center"/>
    </xf>
    <xf numFmtId="10" fontId="6" fillId="33" borderId="33" xfId="80" applyNumberFormat="1" applyFont="1" applyFill="1" applyBorder="1" applyAlignment="1" applyProtection="1">
      <alignment horizontal="center" vertical="center"/>
      <protection/>
    </xf>
    <xf numFmtId="0" fontId="6" fillId="36" borderId="33" xfId="0" applyFont="1" applyFill="1" applyBorder="1" applyAlignment="1" applyProtection="1">
      <alignment horizontal="center" vertical="center" wrapText="1"/>
      <protection/>
    </xf>
    <xf numFmtId="0" fontId="7" fillId="36" borderId="33" xfId="0" applyFont="1" applyFill="1" applyBorder="1" applyAlignment="1" applyProtection="1">
      <alignment horizontal="center" vertical="center" wrapText="1"/>
      <protection/>
    </xf>
    <xf numFmtId="4" fontId="7" fillId="36" borderId="33" xfId="0" applyNumberFormat="1" applyFont="1" applyFill="1" applyBorder="1" applyAlignment="1" applyProtection="1">
      <alignment horizontal="center" vertical="center" wrapText="1"/>
      <protection/>
    </xf>
    <xf numFmtId="4" fontId="7" fillId="36" borderId="33" xfId="0" applyNumberFormat="1" applyFont="1" applyFill="1" applyBorder="1" applyAlignment="1" applyProtection="1">
      <alignment horizontal="center" vertical="center"/>
      <protection/>
    </xf>
    <xf numFmtId="4" fontId="6" fillId="36" borderId="33" xfId="0" applyNumberFormat="1" applyFont="1" applyFill="1" applyBorder="1" applyAlignment="1" applyProtection="1">
      <alignment vertical="center"/>
      <protection/>
    </xf>
    <xf numFmtId="0" fontId="87" fillId="34" borderId="26" xfId="0" applyFont="1" applyFill="1" applyBorder="1" applyAlignment="1">
      <alignment horizontal="left" vertical="center" wrapText="1"/>
    </xf>
    <xf numFmtId="2" fontId="87" fillId="34" borderId="21" xfId="0" applyNumberFormat="1" applyFont="1" applyFill="1" applyBorder="1" applyAlignment="1">
      <alignment horizontal="center" vertical="center" wrapText="1"/>
    </xf>
    <xf numFmtId="2" fontId="87" fillId="34" borderId="22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/>
    </xf>
    <xf numFmtId="10" fontId="0" fillId="0" borderId="34" xfId="80" applyNumberFormat="1" applyFont="1" applyFill="1" applyBorder="1" applyAlignment="1" applyProtection="1">
      <alignment horizontal="center" vertical="center"/>
      <protection/>
    </xf>
    <xf numFmtId="0" fontId="12" fillId="37" borderId="35" xfId="0" applyFont="1" applyFill="1" applyBorder="1" applyAlignment="1">
      <alignment vertical="center"/>
    </xf>
    <xf numFmtId="0" fontId="12" fillId="37" borderId="36" xfId="0" applyFont="1" applyFill="1" applyBorder="1" applyAlignment="1">
      <alignment vertical="center"/>
    </xf>
    <xf numFmtId="0" fontId="7" fillId="37" borderId="37" xfId="0" applyFont="1" applyFill="1" applyBorder="1" applyAlignment="1">
      <alignment vertical="center"/>
    </xf>
    <xf numFmtId="0" fontId="7" fillId="37" borderId="33" xfId="0" applyFont="1" applyFill="1" applyBorder="1" applyAlignment="1">
      <alignment horizontal="center" vertical="center" wrapText="1"/>
    </xf>
    <xf numFmtId="0" fontId="7" fillId="37" borderId="38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vertical="center"/>
    </xf>
    <xf numFmtId="0" fontId="7" fillId="37" borderId="40" xfId="0" applyFont="1" applyFill="1" applyBorder="1" applyAlignment="1">
      <alignment vertical="center"/>
    </xf>
    <xf numFmtId="2" fontId="87" fillId="0" borderId="26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 applyProtection="1">
      <alignment vertical="center" wrapText="1"/>
      <protection/>
    </xf>
    <xf numFmtId="4" fontId="6" fillId="0" borderId="40" xfId="0" applyNumberFormat="1" applyFont="1" applyFill="1" applyBorder="1" applyAlignment="1" applyProtection="1">
      <alignment horizontal="right" vertical="center"/>
      <protection/>
    </xf>
    <xf numFmtId="4" fontId="6" fillId="0" borderId="41" xfId="0" applyNumberFormat="1" applyFont="1" applyFill="1" applyBorder="1" applyAlignment="1" applyProtection="1">
      <alignment horizontal="right" vertical="center"/>
      <protection/>
    </xf>
    <xf numFmtId="4" fontId="6" fillId="0" borderId="41" xfId="0" applyNumberFormat="1" applyFont="1" applyFill="1" applyBorder="1" applyAlignment="1" applyProtection="1">
      <alignment vertical="center"/>
      <protection/>
    </xf>
    <xf numFmtId="10" fontId="6" fillId="0" borderId="31" xfId="80" applyNumberFormat="1" applyFont="1" applyFill="1" applyBorder="1" applyAlignment="1" applyProtection="1">
      <alignment vertical="center"/>
      <protection/>
    </xf>
    <xf numFmtId="4" fontId="1" fillId="0" borderId="34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 horizontal="left" vertical="center"/>
    </xf>
    <xf numFmtId="193" fontId="86" fillId="0" borderId="0" xfId="0" applyNumberFormat="1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vertical="center"/>
    </xf>
    <xf numFmtId="0" fontId="88" fillId="38" borderId="15" xfId="0" applyFont="1" applyFill="1" applyBorder="1" applyAlignment="1">
      <alignment horizontal="center" vertical="center"/>
    </xf>
    <xf numFmtId="0" fontId="7" fillId="38" borderId="42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left" vertical="center" wrapText="1"/>
    </xf>
    <xf numFmtId="0" fontId="0" fillId="38" borderId="19" xfId="0" applyFont="1" applyFill="1" applyBorder="1" applyAlignment="1">
      <alignment horizontal="center" vertical="center" wrapText="1"/>
    </xf>
    <xf numFmtId="2" fontId="0" fillId="38" borderId="19" xfId="0" applyNumberFormat="1" applyFont="1" applyFill="1" applyBorder="1" applyAlignment="1">
      <alignment horizontal="center" vertical="center"/>
    </xf>
    <xf numFmtId="0" fontId="0" fillId="38" borderId="19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 wrapText="1"/>
    </xf>
    <xf numFmtId="2" fontId="89" fillId="38" borderId="24" xfId="0" applyNumberFormat="1" applyFont="1" applyFill="1" applyBorder="1" applyAlignment="1">
      <alignment horizontal="center" vertical="center"/>
    </xf>
    <xf numFmtId="0" fontId="88" fillId="38" borderId="17" xfId="0" applyFont="1" applyFill="1" applyBorder="1" applyAlignment="1">
      <alignment horizontal="center" vertical="center" wrapText="1"/>
    </xf>
    <xf numFmtId="4" fontId="89" fillId="38" borderId="24" xfId="0" applyNumberFormat="1" applyFont="1" applyFill="1" applyBorder="1" applyAlignment="1">
      <alignment horizontal="center" vertical="center"/>
    </xf>
    <xf numFmtId="0" fontId="89" fillId="38" borderId="29" xfId="0" applyFont="1" applyFill="1" applyBorder="1" applyAlignment="1">
      <alignment horizontal="center" vertical="center"/>
    </xf>
    <xf numFmtId="0" fontId="89" fillId="38" borderId="43" xfId="0" applyFont="1" applyFill="1" applyBorder="1" applyAlignment="1">
      <alignment horizontal="left" vertical="center"/>
    </xf>
    <xf numFmtId="2" fontId="89" fillId="38" borderId="20" xfId="0" applyNumberFormat="1" applyFont="1" applyFill="1" applyBorder="1" applyAlignment="1">
      <alignment horizontal="center" vertical="center" wrapText="1"/>
    </xf>
    <xf numFmtId="0" fontId="88" fillId="38" borderId="42" xfId="0" applyFont="1" applyFill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89" fillId="0" borderId="19" xfId="0" applyFont="1" applyBorder="1" applyAlignment="1">
      <alignment horizontal="left" vertical="center"/>
    </xf>
    <xf numFmtId="2" fontId="89" fillId="0" borderId="19" xfId="0" applyNumberFormat="1" applyFont="1" applyBorder="1" applyAlignment="1">
      <alignment horizontal="center" vertical="center"/>
    </xf>
    <xf numFmtId="2" fontId="89" fillId="0" borderId="20" xfId="0" applyNumberFormat="1" applyFont="1" applyBorder="1" applyAlignment="1">
      <alignment horizontal="center" vertical="center"/>
    </xf>
    <xf numFmtId="208" fontId="89" fillId="38" borderId="27" xfId="0" applyNumberFormat="1" applyFont="1" applyFill="1" applyBorder="1" applyAlignment="1">
      <alignment horizontal="center" vertical="center"/>
    </xf>
    <xf numFmtId="208" fontId="89" fillId="38" borderId="22" xfId="0" applyNumberFormat="1" applyFont="1" applyFill="1" applyBorder="1" applyAlignment="1">
      <alignment horizontal="center" vertical="center"/>
    </xf>
    <xf numFmtId="209" fontId="89" fillId="38" borderId="22" xfId="0" applyNumberFormat="1" applyFont="1" applyFill="1" applyBorder="1" applyAlignment="1">
      <alignment horizontal="center" vertical="center"/>
    </xf>
    <xf numFmtId="208" fontId="88" fillId="38" borderId="22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 applyProtection="1">
      <alignment horizontal="right" vertical="center"/>
      <protection/>
    </xf>
    <xf numFmtId="0" fontId="0" fillId="34" borderId="19" xfId="59" applyFont="1" applyFill="1" applyBorder="1" applyAlignment="1">
      <alignment horizontal="left" vertical="center"/>
      <protection/>
    </xf>
    <xf numFmtId="0" fontId="0" fillId="34" borderId="20" xfId="59" applyFont="1" applyFill="1" applyBorder="1" applyAlignment="1">
      <alignment horizontal="center" vertical="center" wrapText="1"/>
      <protection/>
    </xf>
    <xf numFmtId="0" fontId="86" fillId="34" borderId="17" xfId="0" applyFont="1" applyFill="1" applyBorder="1" applyAlignment="1">
      <alignment horizontal="center" vertical="center"/>
    </xf>
    <xf numFmtId="0" fontId="7" fillId="34" borderId="42" xfId="59" applyFont="1" applyFill="1" applyBorder="1" applyAlignment="1">
      <alignment horizontal="center" vertical="center"/>
      <protection/>
    </xf>
    <xf numFmtId="0" fontId="86" fillId="34" borderId="44" xfId="0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/>
    </xf>
    <xf numFmtId="0" fontId="87" fillId="34" borderId="19" xfId="0" applyFont="1" applyFill="1" applyBorder="1" applyAlignment="1">
      <alignment horizontal="center" vertical="center"/>
    </xf>
    <xf numFmtId="0" fontId="87" fillId="34" borderId="26" xfId="0" applyFont="1" applyFill="1" applyBorder="1" applyAlignment="1">
      <alignment horizontal="center" vertical="center"/>
    </xf>
    <xf numFmtId="0" fontId="87" fillId="34" borderId="43" xfId="0" applyFont="1" applyFill="1" applyBorder="1" applyAlignment="1">
      <alignment horizontal="left" vertical="center"/>
    </xf>
    <xf numFmtId="0" fontId="87" fillId="34" borderId="43" xfId="0" applyFont="1" applyFill="1" applyBorder="1" applyAlignment="1">
      <alignment horizontal="center" vertical="center"/>
    </xf>
    <xf numFmtId="0" fontId="0" fillId="34" borderId="19" xfId="59" applyFont="1" applyFill="1" applyBorder="1" applyAlignment="1">
      <alignment horizontal="left" vertical="center" wrapText="1"/>
      <protection/>
    </xf>
    <xf numFmtId="0" fontId="0" fillId="34" borderId="18" xfId="59" applyFont="1" applyFill="1" applyBorder="1" applyAlignment="1">
      <alignment horizontal="center" vertical="center"/>
      <protection/>
    </xf>
    <xf numFmtId="0" fontId="0" fillId="34" borderId="19" xfId="59" applyFont="1" applyFill="1" applyBorder="1" applyAlignment="1">
      <alignment horizontal="center" vertical="center" wrapText="1"/>
      <protection/>
    </xf>
    <xf numFmtId="2" fontId="0" fillId="34" borderId="19" xfId="59" applyNumberFormat="1" applyFont="1" applyFill="1" applyBorder="1" applyAlignment="1">
      <alignment horizontal="center" vertical="center"/>
      <protection/>
    </xf>
    <xf numFmtId="0" fontId="0" fillId="34" borderId="19" xfId="59" applyFont="1" applyFill="1" applyBorder="1" applyAlignment="1">
      <alignment horizontal="center" vertical="center"/>
      <protection/>
    </xf>
    <xf numFmtId="2" fontId="0" fillId="34" borderId="20" xfId="59" applyNumberFormat="1" applyFont="1" applyFill="1" applyBorder="1" applyAlignment="1">
      <alignment horizontal="center" vertical="center" wrapText="1"/>
      <protection/>
    </xf>
    <xf numFmtId="0" fontId="87" fillId="0" borderId="25" xfId="0" applyFont="1" applyFill="1" applyBorder="1" applyAlignment="1">
      <alignment horizontal="center" vertical="center"/>
    </xf>
    <xf numFmtId="0" fontId="87" fillId="0" borderId="26" xfId="0" applyFont="1" applyFill="1" applyBorder="1" applyAlignment="1">
      <alignment horizontal="left" vertical="center"/>
    </xf>
    <xf numFmtId="2" fontId="87" fillId="0" borderId="21" xfId="0" applyNumberFormat="1" applyFont="1" applyFill="1" applyBorder="1" applyAlignment="1">
      <alignment horizontal="center" vertical="center"/>
    </xf>
    <xf numFmtId="193" fontId="86" fillId="34" borderId="28" xfId="0" applyNumberFormat="1" applyFont="1" applyFill="1" applyBorder="1" applyAlignment="1">
      <alignment horizontal="center" vertical="center"/>
    </xf>
    <xf numFmtId="178" fontId="0" fillId="0" borderId="42" xfId="99" applyFont="1" applyFill="1" applyBorder="1" applyAlignment="1" applyProtection="1">
      <alignment horizontal="center" vertical="top" wrapText="1"/>
      <protection/>
    </xf>
    <xf numFmtId="181" fontId="0" fillId="0" borderId="42" xfId="80" applyNumberFormat="1" applyFont="1" applyFill="1" applyBorder="1" applyAlignment="1" applyProtection="1">
      <alignment horizontal="center" vertical="top" wrapText="1"/>
      <protection/>
    </xf>
    <xf numFmtId="10" fontId="0" fillId="0" borderId="42" xfId="80" applyNumberFormat="1" applyFont="1" applyFill="1" applyBorder="1" applyAlignment="1" applyProtection="1">
      <alignment horizontal="center" vertical="center" wrapText="1"/>
      <protection/>
    </xf>
    <xf numFmtId="178" fontId="0" fillId="0" borderId="42" xfId="99" applyFont="1" applyFill="1" applyBorder="1" applyAlignment="1" applyProtection="1">
      <alignment horizontal="left" vertical="center" wrapText="1"/>
      <protection/>
    </xf>
    <xf numFmtId="0" fontId="65" fillId="0" borderId="0" xfId="65">
      <alignment/>
      <protection/>
    </xf>
    <xf numFmtId="0" fontId="0" fillId="0" borderId="42" xfId="56" applyFont="1" applyFill="1" applyBorder="1" applyAlignment="1">
      <alignment horizontal="center" vertical="center" wrapText="1"/>
      <protection/>
    </xf>
    <xf numFmtId="0" fontId="17" fillId="0" borderId="42" xfId="56" applyFont="1" applyFill="1" applyBorder="1" applyAlignment="1">
      <alignment horizontal="left" vertical="center" wrapText="1"/>
      <protection/>
    </xf>
    <xf numFmtId="10" fontId="0" fillId="0" borderId="42" xfId="56" applyNumberFormat="1" applyFont="1" applyFill="1" applyBorder="1" applyAlignment="1">
      <alignment horizontal="center" vertical="center" wrapText="1"/>
      <protection/>
    </xf>
    <xf numFmtId="10" fontId="0" fillId="0" borderId="16" xfId="56" applyNumberFormat="1" applyFont="1" applyFill="1" applyBorder="1" applyAlignment="1">
      <alignment horizontal="center" vertical="center" wrapText="1"/>
      <protection/>
    </xf>
    <xf numFmtId="0" fontId="90" fillId="0" borderId="42" xfId="56" applyFont="1" applyFill="1" applyBorder="1" applyAlignment="1">
      <alignment horizontal="right" vertical="center" wrapText="1"/>
      <protection/>
    </xf>
    <xf numFmtId="9" fontId="10" fillId="0" borderId="0" xfId="81" applyFont="1" applyFill="1" applyBorder="1" applyAlignment="1">
      <alignment horizontal="center" vertical="center"/>
    </xf>
    <xf numFmtId="10" fontId="10" fillId="0" borderId="0" xfId="81" applyNumberFormat="1" applyFont="1" applyFill="1" applyBorder="1" applyAlignment="1">
      <alignment horizontal="center" vertical="center"/>
    </xf>
    <xf numFmtId="0" fontId="18" fillId="0" borderId="0" xfId="65" applyFont="1">
      <alignment/>
      <protection/>
    </xf>
    <xf numFmtId="181" fontId="91" fillId="0" borderId="0" xfId="65" applyNumberFormat="1" applyFont="1" applyFill="1" applyBorder="1" applyAlignment="1">
      <alignment vertical="center"/>
      <protection/>
    </xf>
    <xf numFmtId="0" fontId="91" fillId="0" borderId="0" xfId="65" applyFont="1" applyBorder="1" applyAlignment="1">
      <alignment vertical="center"/>
      <protection/>
    </xf>
    <xf numFmtId="181" fontId="91" fillId="0" borderId="0" xfId="65" applyNumberFormat="1" applyFont="1" applyBorder="1" applyAlignment="1">
      <alignment vertical="center"/>
      <protection/>
    </xf>
    <xf numFmtId="193" fontId="86" fillId="0" borderId="42" xfId="0" applyNumberFormat="1" applyFont="1" applyFill="1" applyBorder="1" applyAlignment="1">
      <alignment horizontal="center" vertical="center"/>
    </xf>
    <xf numFmtId="0" fontId="87" fillId="34" borderId="42" xfId="0" applyFont="1" applyFill="1" applyBorder="1" applyAlignment="1">
      <alignment horizontal="left" vertical="center"/>
    </xf>
    <xf numFmtId="0" fontId="87" fillId="34" borderId="32" xfId="0" applyFont="1" applyFill="1" applyBorder="1" applyAlignment="1">
      <alignment horizontal="left" vertical="center"/>
    </xf>
    <xf numFmtId="0" fontId="87" fillId="34" borderId="45" xfId="0" applyFont="1" applyFill="1" applyBorder="1" applyAlignment="1">
      <alignment horizontal="left" vertical="center"/>
    </xf>
    <xf numFmtId="0" fontId="87" fillId="34" borderId="46" xfId="0" applyFont="1" applyFill="1" applyBorder="1" applyAlignment="1">
      <alignment horizontal="left" vertical="center"/>
    </xf>
    <xf numFmtId="193" fontId="87" fillId="0" borderId="42" xfId="0" applyNumberFormat="1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 wrapText="1"/>
    </xf>
    <xf numFmtId="0" fontId="20" fillId="39" borderId="47" xfId="78" applyFont="1" applyFill="1" applyBorder="1" applyAlignment="1">
      <alignment horizontal="center"/>
      <protection/>
    </xf>
    <xf numFmtId="0" fontId="20" fillId="39" borderId="0" xfId="78" applyFont="1" applyFill="1" applyBorder="1" applyAlignment="1">
      <alignment horizontal="center"/>
      <protection/>
    </xf>
    <xf numFmtId="0" fontId="20" fillId="39" borderId="48" xfId="78" applyFont="1" applyFill="1" applyBorder="1" applyAlignment="1">
      <alignment horizontal="center"/>
      <protection/>
    </xf>
    <xf numFmtId="0" fontId="17" fillId="39" borderId="47" xfId="78" applyFont="1" applyFill="1" applyBorder="1">
      <alignment/>
      <protection/>
    </xf>
    <xf numFmtId="0" fontId="17" fillId="39" borderId="0" xfId="78" applyFont="1" applyFill="1" applyBorder="1">
      <alignment/>
      <protection/>
    </xf>
    <xf numFmtId="0" fontId="17" fillId="39" borderId="48" xfId="78" applyFont="1" applyFill="1" applyBorder="1">
      <alignment/>
      <protection/>
    </xf>
    <xf numFmtId="0" fontId="21" fillId="39" borderId="42" xfId="78" applyFont="1" applyFill="1" applyBorder="1" applyAlignment="1">
      <alignment horizontal="center" vertical="center" wrapText="1"/>
      <protection/>
    </xf>
    <xf numFmtId="0" fontId="21" fillId="34" borderId="0" xfId="78" applyFont="1" applyFill="1" applyBorder="1" applyAlignment="1">
      <alignment horizontal="center" vertical="center" wrapText="1"/>
      <protection/>
    </xf>
    <xf numFmtId="0" fontId="23" fillId="39" borderId="42" xfId="78" applyFont="1" applyFill="1" applyBorder="1" applyAlignment="1">
      <alignment horizontal="center" vertical="center" wrapText="1"/>
      <protection/>
    </xf>
    <xf numFmtId="0" fontId="23" fillId="34" borderId="0" xfId="78" applyFont="1" applyFill="1" applyBorder="1" applyAlignment="1">
      <alignment horizontal="center" vertical="center" wrapText="1"/>
      <protection/>
    </xf>
    <xf numFmtId="10" fontId="24" fillId="0" borderId="42" xfId="78" applyNumberFormat="1" applyFont="1" applyFill="1" applyBorder="1" applyAlignment="1">
      <alignment horizontal="center"/>
      <protection/>
    </xf>
    <xf numFmtId="10" fontId="24" fillId="34" borderId="0" xfId="78" applyNumberFormat="1" applyFont="1" applyFill="1" applyBorder="1" applyAlignment="1">
      <alignment horizontal="center"/>
      <protection/>
    </xf>
    <xf numFmtId="10" fontId="22" fillId="0" borderId="42" xfId="78" applyNumberFormat="1" applyFont="1" applyFill="1" applyBorder="1" applyAlignment="1">
      <alignment horizontal="center"/>
      <protection/>
    </xf>
    <xf numFmtId="10" fontId="22" fillId="34" borderId="0" xfId="78" applyNumberFormat="1" applyFont="1" applyFill="1" applyBorder="1" applyAlignment="1">
      <alignment horizontal="center"/>
      <protection/>
    </xf>
    <xf numFmtId="10" fontId="24" fillId="39" borderId="42" xfId="78" applyNumberFormat="1" applyFont="1" applyFill="1" applyBorder="1" applyAlignment="1">
      <alignment horizontal="center"/>
      <protection/>
    </xf>
    <xf numFmtId="10" fontId="22" fillId="39" borderId="42" xfId="78" applyNumberFormat="1" applyFont="1" applyFill="1" applyBorder="1" applyAlignment="1">
      <alignment horizontal="center"/>
      <protection/>
    </xf>
    <xf numFmtId="0" fontId="22" fillId="39" borderId="49" xfId="78" applyFont="1" applyFill="1" applyBorder="1" applyAlignment="1">
      <alignment horizontal="right"/>
      <protection/>
    </xf>
    <xf numFmtId="0" fontId="22" fillId="39" borderId="0" xfId="78" applyFont="1" applyFill="1" applyBorder="1" applyAlignment="1">
      <alignment horizontal="right"/>
      <protection/>
    </xf>
    <xf numFmtId="10" fontId="22" fillId="39" borderId="50" xfId="78" applyNumberFormat="1" applyFont="1" applyFill="1" applyBorder="1" applyAlignment="1">
      <alignment horizontal="center"/>
      <protection/>
    </xf>
    <xf numFmtId="0" fontId="17" fillId="34" borderId="0" xfId="78" applyFont="1" applyFill="1" applyBorder="1">
      <alignment/>
      <protection/>
    </xf>
    <xf numFmtId="49" fontId="25" fillId="39" borderId="47" xfId="77" applyNumberFormat="1" applyFont="1" applyFill="1" applyBorder="1" applyAlignment="1">
      <alignment horizontal="left" vertical="top"/>
      <protection/>
    </xf>
    <xf numFmtId="49" fontId="25" fillId="39" borderId="0" xfId="77" applyNumberFormat="1" applyFont="1" applyFill="1" applyBorder="1" applyAlignment="1">
      <alignment horizontal="left" vertical="top" wrapText="1"/>
      <protection/>
    </xf>
    <xf numFmtId="4" fontId="26" fillId="39" borderId="48" xfId="77" applyNumberFormat="1" applyFont="1" applyFill="1" applyBorder="1" applyAlignment="1">
      <alignment vertical="top" wrapText="1"/>
      <protection/>
    </xf>
    <xf numFmtId="49" fontId="25" fillId="39" borderId="47" xfId="77" applyNumberFormat="1" applyFont="1" applyFill="1" applyBorder="1" applyAlignment="1">
      <alignment horizontal="left" vertical="top" wrapText="1"/>
      <protection/>
    </xf>
    <xf numFmtId="49" fontId="25" fillId="39" borderId="47" xfId="77" applyNumberFormat="1" applyFont="1" applyFill="1" applyBorder="1" applyAlignment="1">
      <alignment horizontal="right" vertical="top" wrapText="1"/>
      <protection/>
    </xf>
    <xf numFmtId="49" fontId="25" fillId="39" borderId="0" xfId="77" applyNumberFormat="1" applyFont="1" applyFill="1" applyBorder="1" applyAlignment="1">
      <alignment horizontal="left" vertical="top"/>
      <protection/>
    </xf>
    <xf numFmtId="49" fontId="25" fillId="39" borderId="0" xfId="77" applyNumberFormat="1" applyFont="1" applyFill="1" applyBorder="1" applyAlignment="1">
      <alignment horizontal="center" vertical="top" wrapText="1"/>
      <protection/>
    </xf>
    <xf numFmtId="49" fontId="25" fillId="39" borderId="0" xfId="77" applyNumberFormat="1" applyFont="1" applyFill="1" applyBorder="1" applyAlignment="1">
      <alignment horizontal="left"/>
      <protection/>
    </xf>
    <xf numFmtId="0" fontId="78" fillId="0" borderId="51" xfId="65" applyFont="1" applyBorder="1" applyAlignment="1">
      <alignment horizontal="left" vertical="top"/>
      <protection/>
    </xf>
    <xf numFmtId="0" fontId="78" fillId="0" borderId="51" xfId="65" applyFont="1" applyBorder="1" applyAlignment="1">
      <alignment horizontal="left" vertical="top" wrapText="1"/>
      <protection/>
    </xf>
    <xf numFmtId="10" fontId="92" fillId="0" borderId="42" xfId="86" applyNumberFormat="1" applyFont="1" applyBorder="1" applyAlignment="1">
      <alignment horizontal="center"/>
    </xf>
    <xf numFmtId="0" fontId="19" fillId="0" borderId="52" xfId="65" applyFont="1" applyBorder="1" applyAlignment="1">
      <alignment horizontal="center" vertical="center" wrapText="1"/>
      <protection/>
    </xf>
    <xf numFmtId="0" fontId="92" fillId="0" borderId="53" xfId="65" applyFont="1" applyBorder="1" applyAlignment="1">
      <alignment horizontal="center" vertical="top"/>
      <protection/>
    </xf>
    <xf numFmtId="2" fontId="78" fillId="0" borderId="52" xfId="65" applyNumberFormat="1" applyFont="1" applyBorder="1" applyAlignment="1">
      <alignment horizontal="center" vertical="top"/>
      <protection/>
    </xf>
    <xf numFmtId="0" fontId="78" fillId="0" borderId="52" xfId="65" applyFont="1" applyBorder="1" applyAlignment="1">
      <alignment horizontal="center" vertical="top"/>
      <protection/>
    </xf>
    <xf numFmtId="10" fontId="92" fillId="0" borderId="52" xfId="65" applyNumberFormat="1" applyFont="1" applyBorder="1" applyAlignment="1">
      <alignment horizontal="center" vertical="top"/>
      <protection/>
    </xf>
    <xf numFmtId="0" fontId="92" fillId="0" borderId="52" xfId="65" applyFont="1" applyBorder="1" applyAlignment="1">
      <alignment horizontal="center" vertical="top"/>
      <protection/>
    </xf>
    <xf numFmtId="0" fontId="78" fillId="0" borderId="52" xfId="65" applyFont="1" applyBorder="1" applyAlignment="1">
      <alignment horizontal="center" vertical="center"/>
      <protection/>
    </xf>
    <xf numFmtId="2" fontId="78" fillId="0" borderId="52" xfId="65" applyNumberFormat="1" applyFont="1" applyBorder="1" applyAlignment="1">
      <alignment horizontal="center" vertical="center"/>
      <protection/>
    </xf>
    <xf numFmtId="10" fontId="92" fillId="0" borderId="52" xfId="65" applyNumberFormat="1" applyFont="1" applyBorder="1" applyAlignment="1">
      <alignment horizontal="center" vertical="center"/>
      <protection/>
    </xf>
    <xf numFmtId="0" fontId="92" fillId="0" borderId="53" xfId="65" applyFont="1" applyBorder="1" applyAlignment="1">
      <alignment horizontal="center" vertical="center"/>
      <protection/>
    </xf>
    <xf numFmtId="10" fontId="92" fillId="0" borderId="54" xfId="65" applyNumberFormat="1" applyFont="1" applyBorder="1" applyAlignment="1">
      <alignment horizontal="center" vertical="top"/>
      <protection/>
    </xf>
    <xf numFmtId="0" fontId="92" fillId="0" borderId="53" xfId="65" applyFont="1" applyBorder="1" applyAlignment="1">
      <alignment horizontal="center" vertical="center" wrapText="1"/>
      <protection/>
    </xf>
    <xf numFmtId="0" fontId="78" fillId="0" borderId="52" xfId="65" applyFont="1" applyBorder="1" applyAlignment="1">
      <alignment horizontal="center" vertical="center" wrapText="1"/>
      <protection/>
    </xf>
    <xf numFmtId="10" fontId="78" fillId="0" borderId="52" xfId="85" applyNumberFormat="1" applyFont="1" applyBorder="1" applyAlignment="1">
      <alignment horizontal="center" vertical="top"/>
    </xf>
    <xf numFmtId="10" fontId="92" fillId="0" borderId="52" xfId="85" applyNumberFormat="1" applyFont="1" applyBorder="1" applyAlignment="1">
      <alignment horizontal="center" vertical="top"/>
    </xf>
    <xf numFmtId="10" fontId="78" fillId="0" borderId="52" xfId="85" applyNumberFormat="1" applyFont="1" applyBorder="1" applyAlignment="1">
      <alignment horizontal="center" vertical="center"/>
    </xf>
    <xf numFmtId="0" fontId="92" fillId="0" borderId="55" xfId="65" applyFont="1" applyBorder="1" applyAlignment="1">
      <alignment horizontal="center" vertical="center"/>
      <protection/>
    </xf>
    <xf numFmtId="10" fontId="92" fillId="0" borderId="42" xfId="82" applyNumberFormat="1" applyFont="1" applyBorder="1" applyAlignment="1">
      <alignment horizontal="center"/>
    </xf>
    <xf numFmtId="0" fontId="65" fillId="0" borderId="56" xfId="65" applyBorder="1">
      <alignment/>
      <protection/>
    </xf>
    <xf numFmtId="0" fontId="0" fillId="0" borderId="42" xfId="0" applyFont="1" applyFill="1" applyBorder="1" applyAlignment="1">
      <alignment horizontal="center" vertical="center" wrapText="1"/>
    </xf>
    <xf numFmtId="4" fontId="6" fillId="36" borderId="57" xfId="0" applyNumberFormat="1" applyFont="1" applyFill="1" applyBorder="1" applyAlignment="1" applyProtection="1">
      <alignment vertical="center"/>
      <protection/>
    </xf>
    <xf numFmtId="10" fontId="6" fillId="0" borderId="57" xfId="80" applyNumberFormat="1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justify" vertical="center" wrapText="1"/>
      <protection/>
    </xf>
    <xf numFmtId="4" fontId="1" fillId="0" borderId="42" xfId="0" applyNumberFormat="1" applyFont="1" applyFill="1" applyBorder="1" applyAlignment="1" applyProtection="1">
      <alignment horizontal="center" vertical="center"/>
      <protection/>
    </xf>
    <xf numFmtId="4" fontId="0" fillId="0" borderId="42" xfId="0" applyNumberFormat="1" applyFont="1" applyFill="1" applyBorder="1" applyAlignment="1" applyProtection="1">
      <alignment horizontal="center" vertical="center" wrapText="1"/>
      <protection/>
    </xf>
    <xf numFmtId="4" fontId="0" fillId="0" borderId="42" xfId="0" applyNumberFormat="1" applyFont="1" applyFill="1" applyBorder="1" applyAlignment="1">
      <alignment horizontal="center" vertical="center"/>
    </xf>
    <xf numFmtId="10" fontId="0" fillId="0" borderId="42" xfId="80" applyNumberFormat="1" applyFont="1" applyFill="1" applyBorder="1" applyAlignment="1" applyProtection="1">
      <alignment horizontal="center" vertical="center"/>
      <protection/>
    </xf>
    <xf numFmtId="49" fontId="0" fillId="0" borderId="42" xfId="0" applyNumberFormat="1" applyFill="1" applyBorder="1" applyAlignment="1">
      <alignment horizontal="center" vertical="center" wrapText="1"/>
    </xf>
    <xf numFmtId="0" fontId="0" fillId="0" borderId="42" xfId="0" applyFill="1" applyBorder="1" applyAlignment="1" applyProtection="1">
      <alignment horizontal="justify" vertical="center" wrapText="1"/>
      <protection/>
    </xf>
    <xf numFmtId="4" fontId="6" fillId="0" borderId="58" xfId="0" applyNumberFormat="1" applyFont="1" applyFill="1" applyBorder="1" applyAlignment="1" applyProtection="1">
      <alignment horizontal="right" vertical="center"/>
      <protection/>
    </xf>
    <xf numFmtId="4" fontId="6" fillId="0" borderId="59" xfId="0" applyNumberFormat="1" applyFont="1" applyFill="1" applyBorder="1" applyAlignment="1" applyProtection="1">
      <alignment horizontal="right" vertical="center"/>
      <protection/>
    </xf>
    <xf numFmtId="4" fontId="6" fillId="0" borderId="59" xfId="0" applyNumberFormat="1" applyFont="1" applyFill="1" applyBorder="1" applyAlignment="1" applyProtection="1">
      <alignment vertical="center"/>
      <protection/>
    </xf>
    <xf numFmtId="10" fontId="6" fillId="0" borderId="60" xfId="80" applyNumberFormat="1" applyFont="1" applyFill="1" applyBorder="1" applyAlignment="1" applyProtection="1">
      <alignment vertical="center"/>
      <protection/>
    </xf>
    <xf numFmtId="0" fontId="7" fillId="37" borderId="42" xfId="0" applyFont="1" applyFill="1" applyBorder="1" applyAlignment="1">
      <alignment horizontal="center" vertical="center" wrapText="1"/>
    </xf>
    <xf numFmtId="0" fontId="7" fillId="37" borderId="42" xfId="0" applyFont="1" applyFill="1" applyBorder="1" applyAlignment="1">
      <alignment vertical="center"/>
    </xf>
    <xf numFmtId="0" fontId="0" fillId="37" borderId="42" xfId="0" applyFont="1" applyFill="1" applyBorder="1" applyAlignment="1" applyProtection="1">
      <alignment horizontal="justify" vertical="center" wrapText="1"/>
      <protection/>
    </xf>
    <xf numFmtId="4" fontId="0" fillId="37" borderId="42" xfId="0" applyNumberFormat="1" applyFont="1" applyFill="1" applyBorder="1" applyAlignment="1" applyProtection="1">
      <alignment horizontal="center" vertical="center" wrapText="1"/>
      <protection/>
    </xf>
    <xf numFmtId="4" fontId="0" fillId="37" borderId="42" xfId="0" applyNumberFormat="1" applyFont="1" applyFill="1" applyBorder="1" applyAlignment="1">
      <alignment horizontal="center" vertical="center"/>
    </xf>
    <xf numFmtId="10" fontId="0" fillId="37" borderId="42" xfId="80" applyNumberFormat="1" applyFont="1" applyFill="1" applyBorder="1" applyAlignment="1" applyProtection="1">
      <alignment horizontal="center" vertical="center"/>
      <protection/>
    </xf>
    <xf numFmtId="4" fontId="6" fillId="36" borderId="42" xfId="0" applyNumberFormat="1" applyFont="1" applyFill="1" applyBorder="1" applyAlignment="1" applyProtection="1">
      <alignment vertical="center"/>
      <protection/>
    </xf>
    <xf numFmtId="10" fontId="6" fillId="0" borderId="42" xfId="80" applyNumberFormat="1" applyFont="1" applyFill="1" applyBorder="1" applyAlignment="1" applyProtection="1">
      <alignment vertical="center"/>
      <protection/>
    </xf>
    <xf numFmtId="49" fontId="0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justify" vertical="center" wrapText="1"/>
      <protection/>
    </xf>
    <xf numFmtId="10" fontId="0" fillId="0" borderId="42" xfId="80" applyNumberFormat="1" applyFont="1" applyFill="1" applyBorder="1" applyAlignment="1" applyProtection="1">
      <alignment horizontal="center" vertical="center"/>
      <protection/>
    </xf>
    <xf numFmtId="0" fontId="86" fillId="34" borderId="61" xfId="0" applyFont="1" applyFill="1" applyBorder="1" applyAlignment="1">
      <alignment horizontal="center" vertical="center"/>
    </xf>
    <xf numFmtId="0" fontId="87" fillId="34" borderId="62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0" fillId="0" borderId="46" xfId="0" applyNumberFormat="1" applyFont="1" applyFill="1" applyBorder="1" applyAlignment="1" applyProtection="1">
      <alignment horizontal="center" vertical="center" wrapText="1"/>
      <protection/>
    </xf>
    <xf numFmtId="4" fontId="0" fillId="0" borderId="4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0" fillId="33" borderId="63" xfId="0" applyNumberFormat="1" applyFont="1" applyFill="1" applyBorder="1" applyAlignment="1">
      <alignment horizontal="center"/>
    </xf>
    <xf numFmtId="4" fontId="0" fillId="33" borderId="64" xfId="0" applyNumberFormat="1" applyFont="1" applyFill="1" applyBorder="1" applyAlignment="1">
      <alignment horizontal="center"/>
    </xf>
    <xf numFmtId="4" fontId="0" fillId="0" borderId="65" xfId="0" applyNumberFormat="1" applyFont="1" applyFill="1" applyBorder="1" applyAlignment="1">
      <alignment horizontal="center"/>
    </xf>
    <xf numFmtId="4" fontId="0" fillId="0" borderId="66" xfId="0" applyNumberFormat="1" applyFont="1" applyFill="1" applyBorder="1" applyAlignment="1">
      <alignment horizontal="center"/>
    </xf>
    <xf numFmtId="4" fontId="0" fillId="0" borderId="67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34" borderId="18" xfId="59" applyFont="1" applyFill="1" applyBorder="1" applyAlignment="1">
      <alignment horizontal="center" vertical="center"/>
      <protection/>
    </xf>
    <xf numFmtId="0" fontId="7" fillId="34" borderId="46" xfId="59" applyFont="1" applyFill="1" applyBorder="1" applyAlignment="1">
      <alignment horizontal="center" vertical="center"/>
      <protection/>
    </xf>
    <xf numFmtId="0" fontId="0" fillId="34" borderId="68" xfId="59" applyFont="1" applyFill="1" applyBorder="1" applyAlignment="1">
      <alignment horizontal="center" vertical="center"/>
      <protection/>
    </xf>
    <xf numFmtId="0" fontId="87" fillId="34" borderId="68" xfId="0" applyFont="1" applyFill="1" applyBorder="1" applyAlignment="1">
      <alignment horizontal="center" vertical="center"/>
    </xf>
    <xf numFmtId="0" fontId="7" fillId="34" borderId="61" xfId="59" applyFont="1" applyFill="1" applyBorder="1" applyAlignment="1">
      <alignment horizontal="center" vertical="center"/>
      <protection/>
    </xf>
    <xf numFmtId="0" fontId="88" fillId="38" borderId="61" xfId="0" applyFont="1" applyFill="1" applyBorder="1" applyAlignment="1">
      <alignment horizontal="center" vertical="center"/>
    </xf>
    <xf numFmtId="0" fontId="89" fillId="38" borderId="62" xfId="0" applyFont="1" applyFill="1" applyBorder="1" applyAlignment="1">
      <alignment horizontal="center" vertical="center"/>
    </xf>
    <xf numFmtId="0" fontId="89" fillId="0" borderId="68" xfId="0" applyFont="1" applyBorder="1" applyAlignment="1">
      <alignment horizontal="center" vertical="center"/>
    </xf>
    <xf numFmtId="0" fontId="87" fillId="34" borderId="69" xfId="0" applyFont="1" applyFill="1" applyBorder="1" applyAlignment="1">
      <alignment horizontal="center" vertical="center" wrapText="1"/>
    </xf>
    <xf numFmtId="0" fontId="87" fillId="0" borderId="69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Alignment="1">
      <alignment horizontal="center"/>
    </xf>
    <xf numFmtId="4" fontId="94" fillId="0" borderId="0" xfId="0" applyNumberFormat="1" applyFont="1" applyFill="1" applyBorder="1" applyAlignment="1">
      <alignment horizontal="center"/>
    </xf>
    <xf numFmtId="4" fontId="93" fillId="0" borderId="42" xfId="0" applyNumberFormat="1" applyFont="1" applyFill="1" applyBorder="1" applyAlignment="1" applyProtection="1">
      <alignment horizontal="center" vertical="center"/>
      <protection/>
    </xf>
    <xf numFmtId="4" fontId="93" fillId="40" borderId="42" xfId="0" applyNumberFormat="1" applyFont="1" applyFill="1" applyBorder="1" applyAlignment="1" applyProtection="1">
      <alignment horizontal="center" vertical="center"/>
      <protection/>
    </xf>
    <xf numFmtId="4" fontId="93" fillId="0" borderId="0" xfId="0" applyNumberFormat="1" applyFont="1" applyFill="1" applyBorder="1" applyAlignment="1" applyProtection="1">
      <alignment horizontal="center" vertical="center"/>
      <protection/>
    </xf>
    <xf numFmtId="4" fontId="93" fillId="33" borderId="64" xfId="0" applyNumberFormat="1" applyFont="1" applyFill="1" applyBorder="1" applyAlignment="1">
      <alignment horizontal="center"/>
    </xf>
    <xf numFmtId="4" fontId="93" fillId="0" borderId="66" xfId="0" applyNumberFormat="1" applyFont="1" applyFill="1" applyBorder="1" applyAlignment="1">
      <alignment horizontal="center"/>
    </xf>
    <xf numFmtId="4" fontId="93" fillId="0" borderId="67" xfId="0" applyNumberFormat="1" applyFont="1" applyFill="1" applyBorder="1" applyAlignment="1">
      <alignment horizontal="center"/>
    </xf>
    <xf numFmtId="4" fontId="93" fillId="0" borderId="0" xfId="0" applyNumberFormat="1" applyFont="1" applyAlignment="1">
      <alignment horizontal="center"/>
    </xf>
    <xf numFmtId="4" fontId="93" fillId="0" borderId="0" xfId="0" applyNumberFormat="1" applyFont="1" applyFill="1" applyBorder="1" applyAlignment="1">
      <alignment horizontal="center" vertical="center"/>
    </xf>
    <xf numFmtId="4" fontId="95" fillId="0" borderId="38" xfId="99" applyNumberFormat="1" applyFont="1" applyFill="1" applyBorder="1" applyAlignment="1" applyProtection="1">
      <alignment horizontal="center" vertical="center" wrapText="1"/>
      <protection/>
    </xf>
    <xf numFmtId="10" fontId="0" fillId="0" borderId="46" xfId="0" applyNumberFormat="1" applyFont="1" applyFill="1" applyBorder="1" applyAlignment="1">
      <alignment horizontal="center" vertical="top"/>
    </xf>
    <xf numFmtId="10" fontId="7" fillId="36" borderId="33" xfId="80" applyNumberFormat="1" applyFont="1" applyFill="1" applyBorder="1" applyAlignment="1" applyProtection="1">
      <alignment horizontal="center" vertical="center" wrapText="1"/>
      <protection/>
    </xf>
    <xf numFmtId="10" fontId="12" fillId="37" borderId="70" xfId="0" applyNumberFormat="1" applyFont="1" applyFill="1" applyBorder="1" applyAlignment="1">
      <alignment vertical="center"/>
    </xf>
    <xf numFmtId="10" fontId="12" fillId="37" borderId="71" xfId="0" applyNumberFormat="1" applyFont="1" applyFill="1" applyBorder="1" applyAlignment="1">
      <alignment vertical="center"/>
    </xf>
    <xf numFmtId="10" fontId="12" fillId="37" borderId="31" xfId="0" applyNumberFormat="1" applyFont="1" applyFill="1" applyBorder="1" applyAlignment="1">
      <alignment vertical="center"/>
    </xf>
    <xf numFmtId="10" fontId="0" fillId="33" borderId="3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/>
    </xf>
    <xf numFmtId="4" fontId="0" fillId="33" borderId="7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0" fillId="34" borderId="68" xfId="59" applyFont="1" applyFill="1" applyBorder="1" applyAlignment="1">
      <alignment horizontal="center" vertical="center"/>
      <protection/>
    </xf>
    <xf numFmtId="2" fontId="0" fillId="34" borderId="42" xfId="59" applyNumberFormat="1" applyFont="1" applyFill="1" applyBorder="1" applyAlignment="1">
      <alignment horizontal="center" vertical="center"/>
      <protection/>
    </xf>
    <xf numFmtId="0" fontId="0" fillId="0" borderId="42" xfId="0" applyFill="1" applyBorder="1" applyAlignment="1">
      <alignment horizontal="center" vertical="center" wrapText="1"/>
    </xf>
    <xf numFmtId="10" fontId="0" fillId="0" borderId="42" xfId="80" applyNumberForma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justify" vertical="center" wrapText="1"/>
      <protection/>
    </xf>
    <xf numFmtId="0" fontId="89" fillId="0" borderId="42" xfId="0" applyFont="1" applyFill="1" applyBorder="1" applyAlignment="1">
      <alignment horizontal="justify" vertical="center" wrapText="1"/>
    </xf>
    <xf numFmtId="4" fontId="87" fillId="0" borderId="42" xfId="0" applyNumberFormat="1" applyFont="1" applyFill="1" applyBorder="1" applyAlignment="1" applyProtection="1">
      <alignment horizontal="center" vertical="center" wrapText="1"/>
      <protection/>
    </xf>
    <xf numFmtId="193" fontId="0" fillId="0" borderId="42" xfId="71" applyNumberFormat="1" applyFont="1" applyFill="1" applyBorder="1" applyAlignment="1" applyProtection="1">
      <alignment horizontal="center" vertical="center" shrinkToFit="1"/>
      <protection locked="0"/>
    </xf>
    <xf numFmtId="17" fontId="0" fillId="0" borderId="31" xfId="0" applyNumberFormat="1" applyFont="1" applyFill="1" applyBorder="1" applyAlignment="1">
      <alignment horizontal="center" vertical="center"/>
    </xf>
    <xf numFmtId="0" fontId="0" fillId="34" borderId="42" xfId="0" applyFont="1" applyFill="1" applyBorder="1" applyAlignment="1" applyProtection="1">
      <alignment horizontal="justify" vertical="center" wrapText="1"/>
      <protection/>
    </xf>
    <xf numFmtId="4" fontId="1" fillId="34" borderId="42" xfId="0" applyNumberFormat="1" applyFont="1" applyFill="1" applyBorder="1" applyAlignment="1" applyProtection="1">
      <alignment horizontal="center" vertical="center"/>
      <protection/>
    </xf>
    <xf numFmtId="4" fontId="0" fillId="34" borderId="42" xfId="0" applyNumberFormat="1" applyFont="1" applyFill="1" applyBorder="1" applyAlignment="1" applyProtection="1">
      <alignment horizontal="center" vertical="center" wrapText="1"/>
      <protection/>
    </xf>
    <xf numFmtId="4" fontId="0" fillId="34" borderId="42" xfId="0" applyNumberFormat="1" applyFont="1" applyFill="1" applyBorder="1" applyAlignment="1">
      <alignment horizontal="center" vertical="center"/>
    </xf>
    <xf numFmtId="10" fontId="0" fillId="34" borderId="42" xfId="80" applyNumberFormat="1" applyFont="1" applyFill="1" applyBorder="1" applyAlignment="1" applyProtection="1">
      <alignment horizontal="center" vertical="center"/>
      <protection/>
    </xf>
    <xf numFmtId="0" fontId="0" fillId="34" borderId="42" xfId="0" applyFill="1" applyBorder="1" applyAlignment="1" applyProtection="1">
      <alignment horizontal="justify" vertical="center" wrapText="1"/>
      <protection/>
    </xf>
    <xf numFmtId="0" fontId="96" fillId="0" borderId="0" xfId="65" applyFont="1" applyAlignment="1">
      <alignment horizontal="center" wrapText="1"/>
      <protection/>
    </xf>
    <xf numFmtId="0" fontId="65" fillId="0" borderId="56" xfId="65" applyBorder="1" applyAlignment="1">
      <alignment horizont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10" fontId="12" fillId="37" borderId="0" xfId="0" applyNumberFormat="1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horizontal="center" vertical="center"/>
    </xf>
    <xf numFmtId="10" fontId="0" fillId="0" borderId="0" xfId="8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 applyProtection="1">
      <alignment/>
      <protection/>
    </xf>
    <xf numFmtId="10" fontId="7" fillId="36" borderId="0" xfId="80" applyNumberFormat="1" applyFont="1" applyFill="1" applyBorder="1" applyAlignment="1" applyProtection="1">
      <alignment horizontal="center" vertical="center" wrapText="1"/>
      <protection/>
    </xf>
    <xf numFmtId="10" fontId="0" fillId="0" borderId="0" xfId="80" applyNumberFormat="1" applyFont="1" applyFill="1" applyBorder="1" applyAlignment="1" applyProtection="1">
      <alignment horizontal="center" vertical="center"/>
      <protection/>
    </xf>
    <xf numFmtId="10" fontId="0" fillId="0" borderId="0" xfId="80" applyNumberFormat="1" applyFont="1" applyFill="1" applyBorder="1" applyAlignment="1" applyProtection="1">
      <alignment horizontal="center" vertical="center"/>
      <protection/>
    </xf>
    <xf numFmtId="10" fontId="6" fillId="0" borderId="0" xfId="80" applyNumberFormat="1" applyFont="1" applyFill="1" applyBorder="1" applyAlignment="1" applyProtection="1">
      <alignment vertical="center"/>
      <protection/>
    </xf>
    <xf numFmtId="10" fontId="12" fillId="37" borderId="73" xfId="0" applyNumberFormat="1" applyFont="1" applyFill="1" applyBorder="1" applyAlignment="1">
      <alignment vertical="center"/>
    </xf>
    <xf numFmtId="10" fontId="0" fillId="37" borderId="0" xfId="80" applyNumberFormat="1" applyFont="1" applyFill="1" applyBorder="1" applyAlignment="1" applyProtection="1">
      <alignment horizontal="center" vertical="center"/>
      <protection/>
    </xf>
    <xf numFmtId="10" fontId="0" fillId="0" borderId="0" xfId="80" applyNumberFormat="1" applyFill="1" applyBorder="1" applyAlignment="1">
      <alignment horizontal="center" vertical="center"/>
    </xf>
    <xf numFmtId="10" fontId="0" fillId="34" borderId="0" xfId="80" applyNumberFormat="1" applyFont="1" applyFill="1" applyBorder="1" applyAlignment="1" applyProtection="1">
      <alignment horizontal="center" vertical="center"/>
      <protection/>
    </xf>
    <xf numFmtId="10" fontId="6" fillId="33" borderId="0" xfId="80" applyNumberFormat="1" applyFont="1" applyFill="1" applyBorder="1" applyAlignment="1" applyProtection="1">
      <alignment horizontal="center" vertical="center"/>
      <protection/>
    </xf>
    <xf numFmtId="1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wrapText="1"/>
    </xf>
    <xf numFmtId="178" fontId="0" fillId="0" borderId="0" xfId="99" applyFill="1" applyBorder="1" applyAlignment="1" applyProtection="1">
      <alignment horizontal="center" vertical="center"/>
      <protection/>
    </xf>
    <xf numFmtId="49" fontId="0" fillId="34" borderId="42" xfId="0" applyNumberFormat="1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" fontId="89" fillId="0" borderId="51" xfId="0" applyNumberFormat="1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left" vertical="center" wrapText="1"/>
    </xf>
    <xf numFmtId="191" fontId="89" fillId="0" borderId="51" xfId="0" applyNumberFormat="1" applyFont="1" applyBorder="1" applyAlignment="1">
      <alignment horizontal="center" vertical="center" shrinkToFit="1"/>
    </xf>
    <xf numFmtId="4" fontId="89" fillId="0" borderId="51" xfId="0" applyNumberFormat="1" applyFont="1" applyBorder="1" applyAlignment="1">
      <alignment horizontal="center" vertical="center" shrinkToFit="1"/>
    </xf>
    <xf numFmtId="49" fontId="0" fillId="34" borderId="42" xfId="0" applyNumberForma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4" fontId="1" fillId="0" borderId="58" xfId="0" applyNumberFormat="1" applyFont="1" applyFill="1" applyBorder="1" applyAlignment="1" applyProtection="1">
      <alignment horizontal="center" vertical="center"/>
      <protection/>
    </xf>
    <xf numFmtId="0" fontId="87" fillId="34" borderId="42" xfId="0" applyFont="1" applyFill="1" applyBorder="1" applyAlignment="1">
      <alignment horizontal="center" vertical="center"/>
    </xf>
    <xf numFmtId="2" fontId="87" fillId="34" borderId="42" xfId="0" applyNumberFormat="1" applyFont="1" applyFill="1" applyBorder="1" applyAlignment="1">
      <alignment horizontal="center" vertical="center" wrapText="1"/>
    </xf>
    <xf numFmtId="0" fontId="89" fillId="38" borderId="42" xfId="0" applyFont="1" applyFill="1" applyBorder="1" applyAlignment="1">
      <alignment horizontal="center" vertical="center"/>
    </xf>
    <xf numFmtId="0" fontId="89" fillId="38" borderId="42" xfId="0" applyFont="1" applyFill="1" applyBorder="1" applyAlignment="1">
      <alignment horizontal="left" vertical="center" wrapText="1"/>
    </xf>
    <xf numFmtId="4" fontId="89" fillId="38" borderId="42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4" fontId="89" fillId="38" borderId="42" xfId="0" applyNumberFormat="1" applyFont="1" applyFill="1" applyBorder="1" applyAlignment="1">
      <alignment horizontal="left" vertical="center" wrapText="1"/>
    </xf>
    <xf numFmtId="4" fontId="89" fillId="38" borderId="74" xfId="0" applyNumberFormat="1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0" fillId="34" borderId="32" xfId="0" applyNumberFormat="1" applyFont="1" applyFill="1" applyBorder="1" applyAlignment="1" applyProtection="1">
      <alignment horizontal="center" vertical="center" wrapText="1"/>
      <protection/>
    </xf>
    <xf numFmtId="49" fontId="0" fillId="0" borderId="75" xfId="0" applyNumberFormat="1" applyFill="1" applyBorder="1" applyAlignment="1">
      <alignment horizontal="center" vertical="center" wrapText="1"/>
    </xf>
    <xf numFmtId="4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wrapText="1"/>
    </xf>
    <xf numFmtId="0" fontId="0" fillId="34" borderId="42" xfId="0" applyFill="1" applyBorder="1" applyAlignment="1">
      <alignment horizontal="center" vertical="center" wrapText="1"/>
    </xf>
    <xf numFmtId="0" fontId="86" fillId="34" borderId="42" xfId="0" applyFont="1" applyFill="1" applyBorder="1" applyAlignment="1">
      <alignment horizontal="center" vertical="center"/>
    </xf>
    <xf numFmtId="0" fontId="7" fillId="34" borderId="42" xfId="59" applyFont="1" applyFill="1" applyBorder="1" applyAlignment="1">
      <alignment horizontal="center" vertical="center"/>
      <protection/>
    </xf>
    <xf numFmtId="0" fontId="86" fillId="34" borderId="16" xfId="0" applyFont="1" applyFill="1" applyBorder="1" applyAlignment="1">
      <alignment horizontal="center" vertical="center"/>
    </xf>
    <xf numFmtId="4" fontId="29" fillId="36" borderId="33" xfId="0" applyNumberFormat="1" applyFont="1" applyFill="1" applyBorder="1" applyAlignment="1" applyProtection="1">
      <alignment horizontal="center" vertical="center" wrapText="1"/>
      <protection/>
    </xf>
    <xf numFmtId="4" fontId="2" fillId="0" borderId="42" xfId="99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>
      <alignment horizontal="center" vertical="center" wrapText="1"/>
    </xf>
    <xf numFmtId="4" fontId="2" fillId="37" borderId="42" xfId="99" applyNumberFormat="1" applyFont="1" applyFill="1" applyBorder="1" applyAlignment="1" applyProtection="1">
      <alignment horizontal="center" vertical="center"/>
      <protection/>
    </xf>
    <xf numFmtId="4" fontId="2" fillId="34" borderId="42" xfId="99" applyNumberFormat="1" applyFont="1" applyFill="1" applyBorder="1" applyAlignment="1" applyProtection="1">
      <alignment horizontal="center" vertical="center"/>
      <protection/>
    </xf>
    <xf numFmtId="4" fontId="2" fillId="34" borderId="75" xfId="99" applyNumberFormat="1" applyFont="1" applyFill="1" applyBorder="1" applyAlignment="1" applyProtection="1">
      <alignment horizontal="center" vertical="center"/>
      <protection/>
    </xf>
    <xf numFmtId="4" fontId="32" fillId="0" borderId="42" xfId="0" applyNumberFormat="1" applyFont="1" applyFill="1" applyBorder="1" applyAlignment="1" applyProtection="1">
      <alignment horizontal="center" vertical="center"/>
      <protection/>
    </xf>
    <xf numFmtId="4" fontId="32" fillId="0" borderId="57" xfId="0" applyNumberFormat="1" applyFont="1" applyFill="1" applyBorder="1" applyAlignment="1" applyProtection="1">
      <alignment horizontal="center" vertical="center"/>
      <protection/>
    </xf>
    <xf numFmtId="4" fontId="32" fillId="34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4" fontId="32" fillId="0" borderId="33" xfId="0" applyNumberFormat="1" applyFont="1" applyFill="1" applyBorder="1" applyAlignment="1" applyProtection="1">
      <alignment horizontal="center" vertical="center"/>
      <protection/>
    </xf>
    <xf numFmtId="0" fontId="30" fillId="37" borderId="36" xfId="0" applyFont="1" applyFill="1" applyBorder="1" applyAlignment="1">
      <alignment horizontal="center" vertical="center"/>
    </xf>
    <xf numFmtId="4" fontId="31" fillId="0" borderId="41" xfId="0" applyNumberFormat="1" applyFont="1" applyFill="1" applyBorder="1" applyAlignment="1" applyProtection="1">
      <alignment horizontal="center" vertical="center"/>
      <protection/>
    </xf>
    <xf numFmtId="0" fontId="30" fillId="37" borderId="35" xfId="0" applyFont="1" applyFill="1" applyBorder="1" applyAlignment="1">
      <alignment horizontal="center" vertical="center"/>
    </xf>
    <xf numFmtId="4" fontId="31" fillId="0" borderId="59" xfId="0" applyNumberFormat="1" applyFont="1" applyFill="1" applyBorder="1" applyAlignment="1" applyProtection="1">
      <alignment horizontal="center" vertical="center"/>
      <protection/>
    </xf>
    <xf numFmtId="0" fontId="30" fillId="37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34" borderId="0" xfId="0" applyFill="1" applyAlignment="1">
      <alignment wrapText="1"/>
    </xf>
    <xf numFmtId="0" fontId="0" fillId="0" borderId="42" xfId="0" applyBorder="1" applyAlignment="1">
      <alignment horizontal="left" vertical="center" wrapText="1"/>
    </xf>
    <xf numFmtId="0" fontId="0" fillId="34" borderId="42" xfId="0" applyFill="1" applyBorder="1" applyAlignment="1">
      <alignment wrapText="1"/>
    </xf>
    <xf numFmtId="0" fontId="89" fillId="34" borderId="42" xfId="0" applyFont="1" applyFill="1" applyBorder="1" applyAlignment="1">
      <alignment horizontal="justify" vertical="center" wrapText="1"/>
    </xf>
    <xf numFmtId="0" fontId="0" fillId="34" borderId="42" xfId="59" applyFont="1" applyFill="1" applyBorder="1" applyAlignment="1">
      <alignment horizontal="center" vertical="center"/>
      <protection/>
    </xf>
    <xf numFmtId="0" fontId="0" fillId="34" borderId="42" xfId="59" applyFont="1" applyFill="1" applyBorder="1" applyAlignment="1">
      <alignment horizontal="left" vertical="center" wrapText="1"/>
      <protection/>
    </xf>
    <xf numFmtId="0" fontId="0" fillId="34" borderId="42" xfId="59" applyFont="1" applyFill="1" applyBorder="1" applyAlignment="1">
      <alignment horizontal="center" vertical="center" wrapText="1"/>
      <protection/>
    </xf>
    <xf numFmtId="0" fontId="0" fillId="34" borderId="42" xfId="59" applyFont="1" applyFill="1" applyBorder="1" applyAlignment="1">
      <alignment horizontal="left" vertical="center" wrapText="1"/>
      <protection/>
    </xf>
    <xf numFmtId="2" fontId="0" fillId="0" borderId="42" xfId="0" applyNumberFormat="1" applyBorder="1" applyAlignment="1">
      <alignment horizontal="center" vertical="center"/>
    </xf>
    <xf numFmtId="0" fontId="87" fillId="34" borderId="42" xfId="0" applyFont="1" applyFill="1" applyBorder="1" applyAlignment="1">
      <alignment horizontal="left" vertical="center" wrapText="1"/>
    </xf>
    <xf numFmtId="2" fontId="87" fillId="0" borderId="42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0" fillId="34" borderId="16" xfId="59" applyNumberFormat="1" applyFont="1" applyFill="1" applyBorder="1" applyAlignment="1">
      <alignment horizontal="center" vertical="center" wrapText="1"/>
      <protection/>
    </xf>
    <xf numFmtId="0" fontId="0" fillId="34" borderId="76" xfId="59" applyFont="1" applyFill="1" applyBorder="1" applyAlignment="1">
      <alignment horizontal="center" vertical="center"/>
      <protection/>
    </xf>
    <xf numFmtId="0" fontId="87" fillId="34" borderId="16" xfId="0" applyFont="1" applyFill="1" applyBorder="1" applyAlignment="1">
      <alignment horizontal="center" vertical="center"/>
    </xf>
    <xf numFmtId="0" fontId="86" fillId="34" borderId="76" xfId="0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 horizontal="center" vertical="center" wrapText="1"/>
    </xf>
    <xf numFmtId="0" fontId="87" fillId="34" borderId="76" xfId="0" applyFont="1" applyFill="1" applyBorder="1" applyAlignment="1">
      <alignment horizontal="center" vertical="center"/>
    </xf>
    <xf numFmtId="2" fontId="87" fillId="34" borderId="16" xfId="0" applyNumberFormat="1" applyFont="1" applyFill="1" applyBorder="1" applyAlignment="1">
      <alignment horizontal="center" vertical="center" wrapText="1"/>
    </xf>
    <xf numFmtId="2" fontId="87" fillId="34" borderId="16" xfId="0" applyNumberFormat="1" applyFont="1" applyFill="1" applyBorder="1" applyAlignment="1">
      <alignment horizontal="center" vertical="center"/>
    </xf>
    <xf numFmtId="193" fontId="87" fillId="34" borderId="16" xfId="0" applyNumberFormat="1" applyFont="1" applyFill="1" applyBorder="1" applyAlignment="1">
      <alignment horizontal="center" vertical="center"/>
    </xf>
    <xf numFmtId="193" fontId="86" fillId="35" borderId="24" xfId="0" applyNumberFormat="1" applyFont="1" applyFill="1" applyBorder="1" applyAlignment="1">
      <alignment horizontal="center" vertical="center"/>
    </xf>
    <xf numFmtId="4" fontId="89" fillId="38" borderId="42" xfId="0" applyNumberFormat="1" applyFont="1" applyFill="1" applyBorder="1" applyAlignment="1">
      <alignment horizontal="center" vertical="center"/>
    </xf>
    <xf numFmtId="0" fontId="7" fillId="38" borderId="77" xfId="0" applyFont="1" applyFill="1" applyBorder="1" applyAlignment="1">
      <alignment horizontal="center" vertical="center"/>
    </xf>
    <xf numFmtId="0" fontId="7" fillId="38" borderId="78" xfId="0" applyFont="1" applyFill="1" applyBorder="1" applyAlignment="1">
      <alignment horizontal="center" vertical="center"/>
    </xf>
    <xf numFmtId="0" fontId="7" fillId="38" borderId="79" xfId="0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/>
    </xf>
    <xf numFmtId="0" fontId="86" fillId="34" borderId="45" xfId="0" applyFont="1" applyFill="1" applyBorder="1" applyAlignment="1">
      <alignment horizontal="right" vertical="center"/>
    </xf>
    <xf numFmtId="0" fontId="86" fillId="34" borderId="46" xfId="0" applyFont="1" applyFill="1" applyBorder="1" applyAlignment="1">
      <alignment horizontal="right" vertical="center"/>
    </xf>
    <xf numFmtId="0" fontId="87" fillId="34" borderId="80" xfId="0" applyFont="1" applyFill="1" applyBorder="1" applyAlignment="1">
      <alignment horizontal="center" vertical="center"/>
    </xf>
    <xf numFmtId="0" fontId="7" fillId="34" borderId="42" xfId="59" applyFont="1" applyFill="1" applyBorder="1" applyAlignment="1">
      <alignment horizontal="center" vertical="center"/>
      <protection/>
    </xf>
    <xf numFmtId="0" fontId="86" fillId="34" borderId="44" xfId="0" applyFont="1" applyFill="1" applyBorder="1" applyAlignment="1">
      <alignment horizontal="center" vertical="center"/>
    </xf>
    <xf numFmtId="0" fontId="86" fillId="34" borderId="17" xfId="0" applyFont="1" applyFill="1" applyBorder="1" applyAlignment="1">
      <alignment horizontal="center" vertical="center"/>
    </xf>
    <xf numFmtId="0" fontId="86" fillId="34" borderId="61" xfId="0" applyFont="1" applyFill="1" applyBorder="1" applyAlignment="1">
      <alignment horizontal="center" vertical="center"/>
    </xf>
    <xf numFmtId="0" fontId="87" fillId="34" borderId="19" xfId="0" applyFont="1" applyFill="1" applyBorder="1" applyAlignment="1">
      <alignment horizontal="center" vertical="center"/>
    </xf>
    <xf numFmtId="2" fontId="87" fillId="34" borderId="19" xfId="0" applyNumberFormat="1" applyFont="1" applyFill="1" applyBorder="1" applyAlignment="1">
      <alignment horizontal="center" vertical="center"/>
    </xf>
    <xf numFmtId="0" fontId="87" fillId="34" borderId="26" xfId="0" applyFont="1" applyFill="1" applyBorder="1" applyAlignment="1">
      <alignment horizontal="center" vertical="center"/>
    </xf>
    <xf numFmtId="0" fontId="87" fillId="34" borderId="69" xfId="0" applyFont="1" applyFill="1" applyBorder="1" applyAlignment="1">
      <alignment horizontal="center" vertical="center"/>
    </xf>
    <xf numFmtId="0" fontId="89" fillId="38" borderId="81" xfId="0" applyFont="1" applyFill="1" applyBorder="1" applyAlignment="1">
      <alignment horizontal="left" vertical="center"/>
    </xf>
    <xf numFmtId="0" fontId="89" fillId="38" borderId="82" xfId="0" applyFont="1" applyFill="1" applyBorder="1" applyAlignment="1">
      <alignment horizontal="left" vertical="center"/>
    </xf>
    <xf numFmtId="0" fontId="89" fillId="38" borderId="62" xfId="0" applyFont="1" applyFill="1" applyBorder="1" applyAlignment="1">
      <alignment horizontal="left" vertical="center"/>
    </xf>
    <xf numFmtId="0" fontId="88" fillId="38" borderId="17" xfId="0" applyFont="1" applyFill="1" applyBorder="1" applyAlignment="1">
      <alignment horizontal="center" vertical="center"/>
    </xf>
    <xf numFmtId="0" fontId="89" fillId="38" borderId="43" xfId="0" applyFont="1" applyFill="1" applyBorder="1" applyAlignment="1">
      <alignment horizontal="center" vertical="center"/>
    </xf>
    <xf numFmtId="0" fontId="7" fillId="38" borderId="44" xfId="0" applyFont="1" applyFill="1" applyBorder="1" applyAlignment="1">
      <alignment horizontal="center" vertical="center"/>
    </xf>
    <xf numFmtId="0" fontId="88" fillId="38" borderId="44" xfId="0" applyFont="1" applyFill="1" applyBorder="1" applyAlignment="1">
      <alignment horizontal="center" vertical="center"/>
    </xf>
    <xf numFmtId="0" fontId="87" fillId="34" borderId="42" xfId="0" applyFont="1" applyFill="1" applyBorder="1" applyAlignment="1">
      <alignment horizontal="left" vertical="center"/>
    </xf>
    <xf numFmtId="0" fontId="87" fillId="34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34" borderId="42" xfId="0" applyFont="1" applyFill="1" applyBorder="1" applyAlignment="1">
      <alignment horizontal="left" vertical="center" wrapText="1"/>
    </xf>
    <xf numFmtId="0" fontId="1" fillId="34" borderId="42" xfId="0" applyFont="1" applyFill="1" applyBorder="1" applyAlignment="1">
      <alignment horizontal="center" vertical="center" wrapText="1"/>
    </xf>
    <xf numFmtId="193" fontId="0" fillId="0" borderId="42" xfId="0" applyNumberFormat="1" applyFont="1" applyFill="1" applyBorder="1" applyAlignment="1" applyProtection="1">
      <alignment horizontal="center" vertical="center" wrapText="1"/>
      <protection/>
    </xf>
    <xf numFmtId="193" fontId="1" fillId="0" borderId="33" xfId="0" applyNumberFormat="1" applyFont="1" applyFill="1" applyBorder="1" applyAlignment="1" applyProtection="1">
      <alignment horizontal="center" vertical="center"/>
      <protection/>
    </xf>
    <xf numFmtId="0" fontId="87" fillId="34" borderId="83" xfId="0" applyFont="1" applyFill="1" applyBorder="1" applyAlignment="1">
      <alignment horizontal="center" vertical="center"/>
    </xf>
    <xf numFmtId="0" fontId="87" fillId="34" borderId="84" xfId="0" applyFont="1" applyFill="1" applyBorder="1" applyAlignment="1">
      <alignment horizontal="center" vertical="center"/>
    </xf>
    <xf numFmtId="0" fontId="87" fillId="34" borderId="80" xfId="0" applyFont="1" applyFill="1" applyBorder="1" applyAlignment="1">
      <alignment horizontal="center" vertical="center"/>
    </xf>
    <xf numFmtId="0" fontId="87" fillId="34" borderId="85" xfId="0" applyFont="1" applyFill="1" applyBorder="1" applyAlignment="1">
      <alignment horizontal="center" vertical="center"/>
    </xf>
    <xf numFmtId="0" fontId="7" fillId="34" borderId="86" xfId="59" applyFont="1" applyFill="1" applyBorder="1" applyAlignment="1">
      <alignment horizontal="center" vertical="center" wrapText="1"/>
      <protection/>
    </xf>
    <xf numFmtId="0" fontId="7" fillId="34" borderId="42" xfId="59" applyFont="1" applyFill="1" applyBorder="1" applyAlignment="1">
      <alignment horizontal="center" vertical="center" wrapText="1"/>
      <protection/>
    </xf>
    <xf numFmtId="0" fontId="86" fillId="34" borderId="86" xfId="0" applyFont="1" applyFill="1" applyBorder="1" applyAlignment="1">
      <alignment horizontal="center" vertical="center"/>
    </xf>
    <xf numFmtId="0" fontId="7" fillId="38" borderId="87" xfId="0" applyFont="1" applyFill="1" applyBorder="1" applyAlignment="1">
      <alignment horizontal="center" vertical="center"/>
    </xf>
    <xf numFmtId="211" fontId="90" fillId="0" borderId="76" xfId="56" applyNumberFormat="1" applyFont="1" applyFill="1" applyBorder="1" applyAlignment="1">
      <alignment horizontal="center" vertical="center" wrapText="1"/>
      <protection/>
    </xf>
    <xf numFmtId="0" fontId="90" fillId="0" borderId="42" xfId="56" applyFont="1" applyFill="1" applyBorder="1" applyAlignment="1">
      <alignment horizontal="left" vertical="center" wrapText="1"/>
      <protection/>
    </xf>
    <xf numFmtId="4" fontId="87" fillId="0" borderId="42" xfId="0" applyNumberFormat="1" applyFont="1" applyFill="1" applyBorder="1" applyAlignment="1">
      <alignment horizontal="center" vertical="center"/>
    </xf>
    <xf numFmtId="193" fontId="0" fillId="34" borderId="42" xfId="71" applyNumberFormat="1" applyFont="1" applyFill="1" applyBorder="1" applyAlignment="1" applyProtection="1">
      <alignment horizontal="center" vertical="center" shrinkToFit="1"/>
      <protection locked="0"/>
    </xf>
    <xf numFmtId="0" fontId="97" fillId="34" borderId="25" xfId="0" applyFont="1" applyFill="1" applyBorder="1" applyAlignment="1">
      <alignment horizontal="center" vertical="center" wrapText="1"/>
    </xf>
    <xf numFmtId="0" fontId="88" fillId="41" borderId="88" xfId="0" applyFont="1" applyFill="1" applyBorder="1" applyAlignment="1">
      <alignment horizontal="center" vertical="center"/>
    </xf>
    <xf numFmtId="0" fontId="88" fillId="41" borderId="89" xfId="0" applyFont="1" applyFill="1" applyBorder="1" applyAlignment="1">
      <alignment horizontal="center" vertical="center"/>
    </xf>
    <xf numFmtId="0" fontId="88" fillId="41" borderId="90" xfId="0" applyFont="1" applyFill="1" applyBorder="1" applyAlignment="1">
      <alignment horizontal="center" vertical="center"/>
    </xf>
    <xf numFmtId="0" fontId="7" fillId="41" borderId="42" xfId="0" applyFont="1" applyFill="1" applyBorder="1" applyAlignment="1">
      <alignment horizontal="center" vertical="center"/>
    </xf>
    <xf numFmtId="0" fontId="7" fillId="41" borderId="16" xfId="0" applyFont="1" applyFill="1" applyBorder="1" applyAlignment="1">
      <alignment horizontal="center" vertical="center" wrapText="1"/>
    </xf>
    <xf numFmtId="0" fontId="0" fillId="41" borderId="42" xfId="0" applyFont="1" applyFill="1" applyBorder="1" applyAlignment="1">
      <alignment horizontal="center" vertical="center"/>
    </xf>
    <xf numFmtId="0" fontId="89" fillId="41" borderId="42" xfId="0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center" vertical="center" wrapText="1"/>
    </xf>
    <xf numFmtId="2" fontId="0" fillId="41" borderId="19" xfId="0" applyNumberFormat="1" applyFont="1" applyFill="1" applyBorder="1" applyAlignment="1">
      <alignment horizontal="center" vertical="center"/>
    </xf>
    <xf numFmtId="0" fontId="0" fillId="41" borderId="19" xfId="0" applyFont="1" applyFill="1" applyBorder="1" applyAlignment="1">
      <alignment horizontal="center" vertical="center"/>
    </xf>
    <xf numFmtId="0" fontId="0" fillId="41" borderId="20" xfId="0" applyFont="1" applyFill="1" applyBorder="1" applyAlignment="1">
      <alignment horizontal="center" vertical="center" wrapText="1"/>
    </xf>
    <xf numFmtId="2" fontId="89" fillId="41" borderId="24" xfId="0" applyNumberFormat="1" applyFont="1" applyFill="1" applyBorder="1" applyAlignment="1">
      <alignment horizontal="center" vertical="center"/>
    </xf>
    <xf numFmtId="0" fontId="88" fillId="41" borderId="15" xfId="0" applyFont="1" applyFill="1" applyBorder="1" applyAlignment="1">
      <alignment horizontal="center" vertical="center"/>
    </xf>
    <xf numFmtId="0" fontId="88" fillId="41" borderId="61" xfId="0" applyFont="1" applyFill="1" applyBorder="1" applyAlignment="1">
      <alignment horizontal="center" vertical="center"/>
    </xf>
    <xf numFmtId="0" fontId="88" fillId="41" borderId="44" xfId="0" applyFont="1" applyFill="1" applyBorder="1" applyAlignment="1">
      <alignment horizontal="center" vertical="center"/>
    </xf>
    <xf numFmtId="0" fontId="88" fillId="41" borderId="17" xfId="0" applyFont="1" applyFill="1" applyBorder="1" applyAlignment="1">
      <alignment horizontal="center" vertical="center" wrapText="1"/>
    </xf>
    <xf numFmtId="0" fontId="89" fillId="41" borderId="42" xfId="0" applyFont="1" applyFill="1" applyBorder="1" applyAlignment="1">
      <alignment horizontal="left" vertical="center" wrapText="1"/>
    </xf>
    <xf numFmtId="4" fontId="89" fillId="41" borderId="42" xfId="0" applyNumberFormat="1" applyFont="1" applyFill="1" applyBorder="1" applyAlignment="1">
      <alignment horizontal="center" vertical="center" wrapText="1"/>
    </xf>
    <xf numFmtId="4" fontId="89" fillId="41" borderId="42" xfId="0" applyNumberFormat="1" applyFont="1" applyFill="1" applyBorder="1" applyAlignment="1">
      <alignment horizontal="center" vertical="center"/>
    </xf>
    <xf numFmtId="4" fontId="89" fillId="41" borderId="24" xfId="0" applyNumberFormat="1" applyFont="1" applyFill="1" applyBorder="1" applyAlignment="1">
      <alignment horizontal="center" vertical="center"/>
    </xf>
    <xf numFmtId="0" fontId="88" fillId="41" borderId="17" xfId="0" applyFont="1" applyFill="1" applyBorder="1" applyAlignment="1">
      <alignment horizontal="center" vertical="center"/>
    </xf>
    <xf numFmtId="0" fontId="89" fillId="41" borderId="29" xfId="0" applyFont="1" applyFill="1" applyBorder="1" applyAlignment="1">
      <alignment horizontal="center" vertical="center"/>
    </xf>
    <xf numFmtId="0" fontId="89" fillId="41" borderId="62" xfId="0" applyFont="1" applyFill="1" applyBorder="1" applyAlignment="1">
      <alignment horizontal="center" vertical="center"/>
    </xf>
    <xf numFmtId="0" fontId="89" fillId="41" borderId="43" xfId="0" applyFont="1" applyFill="1" applyBorder="1" applyAlignment="1">
      <alignment horizontal="left" vertical="center"/>
    </xf>
    <xf numFmtId="0" fontId="89" fillId="41" borderId="43" xfId="0" applyFont="1" applyFill="1" applyBorder="1" applyAlignment="1">
      <alignment horizontal="center" vertical="center"/>
    </xf>
    <xf numFmtId="2" fontId="89" fillId="41" borderId="20" xfId="0" applyNumberFormat="1" applyFont="1" applyFill="1" applyBorder="1" applyAlignment="1">
      <alignment horizontal="center" vertical="center" wrapText="1"/>
    </xf>
    <xf numFmtId="0" fontId="7" fillId="41" borderId="44" xfId="0" applyFont="1" applyFill="1" applyBorder="1" applyAlignment="1">
      <alignment horizontal="center" vertical="center"/>
    </xf>
    <xf numFmtId="0" fontId="7" fillId="41" borderId="79" xfId="0" applyFont="1" applyFill="1" applyBorder="1" applyAlignment="1">
      <alignment horizontal="center" vertical="center"/>
    </xf>
    <xf numFmtId="0" fontId="88" fillId="41" borderId="42" xfId="0" applyFont="1" applyFill="1" applyBorder="1" applyAlignment="1">
      <alignment horizontal="center" vertical="center"/>
    </xf>
    <xf numFmtId="0" fontId="89" fillId="42" borderId="18" xfId="0" applyFont="1" applyFill="1" applyBorder="1" applyAlignment="1">
      <alignment horizontal="center" vertical="center"/>
    </xf>
    <xf numFmtId="0" fontId="89" fillId="42" borderId="68" xfId="0" applyFont="1" applyFill="1" applyBorder="1" applyAlignment="1">
      <alignment horizontal="center" vertical="center"/>
    </xf>
    <xf numFmtId="0" fontId="89" fillId="42" borderId="19" xfId="0" applyFont="1" applyFill="1" applyBorder="1" applyAlignment="1">
      <alignment horizontal="left" vertical="center"/>
    </xf>
    <xf numFmtId="2" fontId="89" fillId="42" borderId="19" xfId="0" applyNumberFormat="1" applyFont="1" applyFill="1" applyBorder="1" applyAlignment="1">
      <alignment horizontal="center" vertical="center"/>
    </xf>
    <xf numFmtId="2" fontId="89" fillId="42" borderId="20" xfId="0" applyNumberFormat="1" applyFont="1" applyFill="1" applyBorder="1" applyAlignment="1">
      <alignment horizontal="center" vertical="center"/>
    </xf>
    <xf numFmtId="208" fontId="89" fillId="41" borderId="27" xfId="0" applyNumberFormat="1" applyFont="1" applyFill="1" applyBorder="1" applyAlignment="1">
      <alignment horizontal="center" vertical="center"/>
    </xf>
    <xf numFmtId="193" fontId="87" fillId="42" borderId="27" xfId="0" applyNumberFormat="1" applyFont="1" applyFill="1" applyBorder="1" applyAlignment="1">
      <alignment horizontal="center" vertical="center"/>
    </xf>
    <xf numFmtId="193" fontId="87" fillId="42" borderId="22" xfId="0" applyNumberFormat="1" applyFont="1" applyFill="1" applyBorder="1" applyAlignment="1">
      <alignment horizontal="center" vertical="center"/>
    </xf>
    <xf numFmtId="193" fontId="86" fillId="42" borderId="28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43" borderId="42" xfId="0" applyFont="1" applyFill="1" applyBorder="1" applyAlignment="1">
      <alignment horizontal="left" vertical="center" wrapText="1"/>
    </xf>
    <xf numFmtId="4" fontId="89" fillId="41" borderId="32" xfId="0" applyNumberFormat="1" applyFont="1" applyFill="1" applyBorder="1" applyAlignment="1">
      <alignment horizontal="center" vertical="center"/>
    </xf>
    <xf numFmtId="4" fontId="89" fillId="41" borderId="46" xfId="0" applyNumberFormat="1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49" fontId="0" fillId="34" borderId="91" xfId="0" applyNumberFormat="1" applyFill="1" applyBorder="1" applyAlignment="1">
      <alignment horizontal="center" vertical="center" wrapText="1"/>
    </xf>
    <xf numFmtId="0" fontId="0" fillId="34" borderId="91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 applyProtection="1">
      <alignment horizontal="justify" vertical="center" wrapText="1"/>
      <protection/>
    </xf>
    <xf numFmtId="4" fontId="6" fillId="36" borderId="92" xfId="0" applyNumberFormat="1" applyFont="1" applyFill="1" applyBorder="1" applyAlignment="1" applyProtection="1">
      <alignment vertical="center"/>
      <protection/>
    </xf>
    <xf numFmtId="10" fontId="6" fillId="0" borderId="92" xfId="80" applyNumberFormat="1" applyFont="1" applyFill="1" applyBorder="1" applyAlignment="1" applyProtection="1">
      <alignment vertical="center"/>
      <protection/>
    </xf>
    <xf numFmtId="4" fontId="0" fillId="0" borderId="42" xfId="61" applyNumberFormat="1" applyFont="1" applyFill="1" applyBorder="1" applyAlignment="1">
      <alignment horizontal="left" vertical="center" wrapText="1"/>
      <protection/>
    </xf>
    <xf numFmtId="4" fontId="2" fillId="0" borderId="42" xfId="61" applyNumberFormat="1" applyFont="1" applyFill="1" applyBorder="1" applyAlignment="1">
      <alignment horizontal="center" vertical="center" wrapText="1"/>
      <protection/>
    </xf>
    <xf numFmtId="193" fontId="0" fillId="0" borderId="0" xfId="8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 vertical="center"/>
    </xf>
    <xf numFmtId="0" fontId="0" fillId="0" borderId="42" xfId="0" applyFont="1" applyBorder="1" applyAlignment="1">
      <alignment vertical="center"/>
    </xf>
    <xf numFmtId="4" fontId="0" fillId="34" borderId="42" xfId="61" applyNumberFormat="1" applyFont="1" applyFill="1" applyBorder="1" applyAlignment="1">
      <alignment horizontal="left" vertical="center" wrapText="1"/>
      <protection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10" fillId="33" borderId="42" xfId="0" applyFont="1" applyFill="1" applyBorder="1" applyAlignment="1" applyProtection="1">
      <alignment vertical="center" wrapText="1"/>
      <protection/>
    </xf>
    <xf numFmtId="10" fontId="34" fillId="0" borderId="42" xfId="0" applyNumberFormat="1" applyFont="1" applyBorder="1" applyAlignment="1">
      <alignment horizontal="center" vertical="center"/>
    </xf>
    <xf numFmtId="0" fontId="34" fillId="0" borderId="42" xfId="0" applyFont="1" applyFill="1" applyBorder="1" applyAlignment="1">
      <alignment horizontal="right" vertical="center"/>
    </xf>
    <xf numFmtId="49" fontId="10" fillId="0" borderId="42" xfId="0" applyNumberFormat="1" applyFont="1" applyFill="1" applyBorder="1" applyAlignment="1">
      <alignment horizontal="center" vertical="center"/>
    </xf>
    <xf numFmtId="10" fontId="10" fillId="0" borderId="42" xfId="8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5" fillId="0" borderId="32" xfId="0" applyFont="1" applyBorder="1" applyAlignment="1" applyProtection="1">
      <alignment horizontal="center" vertical="center" wrapText="1"/>
      <protection/>
    </xf>
    <xf numFmtId="178" fontId="34" fillId="0" borderId="42" xfId="99" applyFont="1" applyFill="1" applyBorder="1" applyAlignment="1" applyProtection="1">
      <alignment horizontal="center" vertical="center" wrapText="1"/>
      <protection/>
    </xf>
    <xf numFmtId="181" fontId="34" fillId="0" borderId="42" xfId="80" applyNumberFormat="1" applyFont="1" applyFill="1" applyBorder="1" applyAlignment="1" applyProtection="1">
      <alignment horizontal="center" vertical="center" wrapText="1"/>
      <protection/>
    </xf>
    <xf numFmtId="1" fontId="10" fillId="33" borderId="42" xfId="0" applyNumberFormat="1" applyFont="1" applyFill="1" applyBorder="1" applyAlignment="1" applyProtection="1">
      <alignment horizontal="center" vertical="center" wrapText="1"/>
      <protection/>
    </xf>
    <xf numFmtId="10" fontId="10" fillId="0" borderId="42" xfId="80" applyNumberFormat="1" applyFont="1" applyFill="1" applyBorder="1" applyAlignment="1" applyProtection="1">
      <alignment horizontal="center" vertical="center" wrapText="1"/>
      <protection/>
    </xf>
    <xf numFmtId="193" fontId="10" fillId="0" borderId="42" xfId="0" applyNumberFormat="1" applyFont="1" applyBorder="1" applyAlignment="1">
      <alignment horizontal="center" vertical="center"/>
    </xf>
    <xf numFmtId="193" fontId="34" fillId="0" borderId="42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65" fillId="0" borderId="0" xfId="65" applyFont="1">
      <alignment/>
      <protection/>
    </xf>
    <xf numFmtId="211" fontId="90" fillId="0" borderId="93" xfId="56" applyNumberFormat="1" applyFont="1" applyFill="1" applyBorder="1" applyAlignment="1">
      <alignment horizontal="center" vertical="center" wrapText="1"/>
      <protection/>
    </xf>
    <xf numFmtId="0" fontId="90" fillId="0" borderId="86" xfId="56" applyFont="1" applyFill="1" applyBorder="1" applyAlignment="1">
      <alignment horizontal="left" vertical="center" wrapText="1"/>
      <protection/>
    </xf>
    <xf numFmtId="0" fontId="0" fillId="0" borderId="86" xfId="56" applyFont="1" applyFill="1" applyBorder="1" applyAlignment="1">
      <alignment horizontal="center" vertical="center" wrapText="1"/>
      <protection/>
    </xf>
    <xf numFmtId="10" fontId="0" fillId="0" borderId="86" xfId="56" applyNumberFormat="1" applyFont="1" applyFill="1" applyBorder="1" applyAlignment="1">
      <alignment horizontal="center" vertical="center" wrapText="1"/>
      <protection/>
    </xf>
    <xf numFmtId="10" fontId="0" fillId="0" borderId="74" xfId="56" applyNumberFormat="1" applyFont="1" applyFill="1" applyBorder="1" applyAlignment="1">
      <alignment horizontal="center" vertical="center" wrapText="1"/>
      <protection/>
    </xf>
    <xf numFmtId="0" fontId="0" fillId="0" borderId="44" xfId="56" applyFont="1" applyFill="1" applyBorder="1" applyAlignment="1">
      <alignment horizontal="center" vertical="center" wrapText="1"/>
      <protection/>
    </xf>
    <xf numFmtId="0" fontId="0" fillId="35" borderId="94" xfId="56" applyFont="1" applyFill="1" applyBorder="1" applyAlignment="1">
      <alignment horizontal="center" vertical="center" wrapText="1"/>
      <protection/>
    </xf>
    <xf numFmtId="216" fontId="0" fillId="35" borderId="94" xfId="56" applyNumberFormat="1" applyFont="1" applyFill="1" applyBorder="1" applyAlignment="1">
      <alignment horizontal="center" vertical="center" wrapText="1"/>
      <protection/>
    </xf>
    <xf numFmtId="10" fontId="0" fillId="35" borderId="24" xfId="56" applyNumberFormat="1" applyFont="1" applyFill="1" applyBorder="1" applyAlignment="1">
      <alignment horizontal="center" vertical="center" wrapText="1"/>
      <protection/>
    </xf>
    <xf numFmtId="0" fontId="0" fillId="0" borderId="44" xfId="56" applyFont="1" applyFill="1" applyBorder="1" applyAlignment="1">
      <alignment horizontal="center" vertical="center" wrapText="1"/>
      <protection/>
    </xf>
    <xf numFmtId="0" fontId="0" fillId="35" borderId="94" xfId="56" applyFont="1" applyFill="1" applyBorder="1" applyAlignment="1">
      <alignment horizontal="center" vertical="center" wrapText="1"/>
      <protection/>
    </xf>
    <xf numFmtId="0" fontId="29" fillId="0" borderId="95" xfId="56" applyFont="1" applyFill="1" applyBorder="1" applyAlignment="1">
      <alignment horizontal="center" vertical="center" wrapText="1"/>
      <protection/>
    </xf>
    <xf numFmtId="0" fontId="98" fillId="0" borderId="95" xfId="56" applyFont="1" applyFill="1" applyBorder="1" applyAlignment="1">
      <alignment horizontal="center" vertical="center" wrapText="1"/>
      <protection/>
    </xf>
    <xf numFmtId="0" fontId="98" fillId="0" borderId="96" xfId="56" applyFont="1" applyFill="1" applyBorder="1" applyAlignment="1">
      <alignment horizontal="center" vertical="center" wrapText="1"/>
      <protection/>
    </xf>
    <xf numFmtId="10" fontId="0" fillId="0" borderId="32" xfId="56" applyNumberFormat="1" applyFont="1" applyFill="1" applyBorder="1" applyAlignment="1">
      <alignment horizontal="center" vertical="center" wrapText="1"/>
      <protection/>
    </xf>
    <xf numFmtId="216" fontId="0" fillId="35" borderId="97" xfId="56" applyNumberFormat="1" applyFont="1" applyFill="1" applyBorder="1" applyAlignment="1">
      <alignment horizontal="center" vertical="center" wrapText="1"/>
      <protection/>
    </xf>
    <xf numFmtId="0" fontId="29" fillId="0" borderId="50" xfId="56" applyFont="1" applyFill="1" applyBorder="1" applyAlignment="1">
      <alignment horizontal="center" vertical="center" wrapText="1"/>
      <protection/>
    </xf>
    <xf numFmtId="0" fontId="17" fillId="0" borderId="46" xfId="56" applyFont="1" applyFill="1" applyBorder="1" applyAlignment="1">
      <alignment horizontal="left" vertical="center" wrapText="1"/>
      <protection/>
    </xf>
    <xf numFmtId="216" fontId="0" fillId="35" borderId="98" xfId="56" applyNumberFormat="1" applyFont="1" applyFill="1" applyBorder="1" applyAlignment="1">
      <alignment horizontal="center" vertical="center" wrapText="1"/>
      <protection/>
    </xf>
    <xf numFmtId="0" fontId="29" fillId="0" borderId="99" xfId="56" applyFont="1" applyFill="1" applyBorder="1" applyAlignment="1">
      <alignment horizontal="center" vertical="center" wrapText="1"/>
      <protection/>
    </xf>
    <xf numFmtId="0" fontId="98" fillId="0" borderId="100" xfId="56" applyFont="1" applyFill="1" applyBorder="1" applyAlignment="1">
      <alignment horizontal="left" vertical="center" wrapText="1"/>
      <protection/>
    </xf>
    <xf numFmtId="212" fontId="99" fillId="0" borderId="17" xfId="56" applyNumberFormat="1" applyFont="1" applyFill="1" applyBorder="1" applyAlignment="1">
      <alignment horizontal="center" vertical="center" wrapText="1"/>
      <protection/>
    </xf>
    <xf numFmtId="212" fontId="76" fillId="0" borderId="16" xfId="56" applyNumberFormat="1" applyFill="1" applyBorder="1" applyAlignment="1">
      <alignment horizontal="center" vertical="center" wrapText="1"/>
      <protection/>
    </xf>
    <xf numFmtId="212" fontId="76" fillId="35" borderId="24" xfId="56" applyNumberFormat="1" applyFill="1" applyBorder="1" applyAlignment="1">
      <alignment horizontal="center" vertical="center" wrapText="1"/>
      <protection/>
    </xf>
    <xf numFmtId="212" fontId="99" fillId="0" borderId="74" xfId="56" applyNumberFormat="1" applyFont="1" applyFill="1" applyBorder="1" applyAlignment="1">
      <alignment horizontal="center" vertical="center" wrapText="1"/>
      <protection/>
    </xf>
    <xf numFmtId="212" fontId="76" fillId="0" borderId="17" xfId="56" applyNumberFormat="1" applyFill="1" applyBorder="1" applyAlignment="1">
      <alignment horizontal="center" vertical="center" wrapText="1"/>
      <protection/>
    </xf>
    <xf numFmtId="212" fontId="76" fillId="0" borderId="74" xfId="56" applyNumberFormat="1" applyFill="1" applyBorder="1" applyAlignment="1">
      <alignment horizontal="center" vertical="center" wrapText="1"/>
      <protection/>
    </xf>
    <xf numFmtId="2" fontId="0" fillId="0" borderId="61" xfId="56" applyNumberFormat="1" applyFont="1" applyFill="1" applyBorder="1" applyAlignment="1">
      <alignment horizontal="center" vertical="center" wrapText="1"/>
      <protection/>
    </xf>
    <xf numFmtId="2" fontId="0" fillId="0" borderId="44" xfId="56" applyNumberFormat="1" applyFont="1" applyFill="1" applyBorder="1" applyAlignment="1">
      <alignment horizontal="center" vertical="center" wrapText="1"/>
      <protection/>
    </xf>
    <xf numFmtId="2" fontId="0" fillId="0" borderId="17" xfId="56" applyNumberFormat="1" applyFont="1" applyFill="1" applyBorder="1" applyAlignment="1">
      <alignment horizontal="center" vertical="center" wrapText="1"/>
      <protection/>
    </xf>
    <xf numFmtId="193" fontId="0" fillId="0" borderId="46" xfId="56" applyNumberFormat="1" applyFont="1" applyFill="1" applyBorder="1" applyAlignment="1">
      <alignment horizontal="right" vertical="center" wrapText="1"/>
      <protection/>
    </xf>
    <xf numFmtId="10" fontId="0" fillId="0" borderId="94" xfId="56" applyNumberFormat="1" applyFont="1" applyFill="1" applyBorder="1" applyAlignment="1">
      <alignment horizontal="center" vertical="center" wrapText="1"/>
      <protection/>
    </xf>
    <xf numFmtId="10" fontId="0" fillId="0" borderId="24" xfId="56" applyNumberFormat="1" applyFont="1" applyFill="1" applyBorder="1" applyAlignment="1">
      <alignment horizontal="center" vertical="center" wrapText="1"/>
      <protection/>
    </xf>
    <xf numFmtId="0" fontId="17" fillId="0" borderId="101" xfId="56" applyFont="1" applyFill="1" applyBorder="1" applyAlignment="1">
      <alignment horizontal="left" vertical="center" wrapText="1"/>
      <protection/>
    </xf>
    <xf numFmtId="0" fontId="17" fillId="0" borderId="75" xfId="56" applyFont="1" applyFill="1" applyBorder="1" applyAlignment="1">
      <alignment horizontal="left" vertical="center" wrapText="1"/>
      <protection/>
    </xf>
    <xf numFmtId="10" fontId="0" fillId="0" borderId="75" xfId="56" applyNumberFormat="1" applyFont="1" applyFill="1" applyBorder="1" applyAlignment="1">
      <alignment horizontal="center" vertical="center" wrapText="1"/>
      <protection/>
    </xf>
    <xf numFmtId="10" fontId="0" fillId="0" borderId="102" xfId="56" applyNumberFormat="1" applyFont="1" applyFill="1" applyBorder="1" applyAlignment="1">
      <alignment horizontal="center" vertical="center" wrapText="1"/>
      <protection/>
    </xf>
    <xf numFmtId="216" fontId="0" fillId="35" borderId="83" xfId="56" applyNumberFormat="1" applyFont="1" applyFill="1" applyBorder="1" applyAlignment="1">
      <alignment horizontal="center" vertical="center" wrapText="1"/>
      <protection/>
    </xf>
    <xf numFmtId="216" fontId="0" fillId="35" borderId="80" xfId="56" applyNumberFormat="1" applyFont="1" applyFill="1" applyBorder="1" applyAlignment="1">
      <alignment horizontal="center" vertical="center" wrapText="1"/>
      <protection/>
    </xf>
    <xf numFmtId="10" fontId="0" fillId="35" borderId="85" xfId="56" applyNumberFormat="1" applyFont="1" applyFill="1" applyBorder="1" applyAlignment="1">
      <alignment horizontal="center" vertical="center" wrapText="1"/>
      <protection/>
    </xf>
    <xf numFmtId="10" fontId="0" fillId="0" borderId="93" xfId="56" applyNumberFormat="1" applyFont="1" applyFill="1" applyBorder="1" applyAlignment="1">
      <alignment horizontal="center" vertical="center" wrapText="1"/>
      <protection/>
    </xf>
    <xf numFmtId="10" fontId="0" fillId="0" borderId="76" xfId="56" applyNumberFormat="1" applyFont="1" applyFill="1" applyBorder="1" applyAlignment="1">
      <alignment horizontal="center" vertical="center" wrapText="1"/>
      <protection/>
    </xf>
    <xf numFmtId="193" fontId="0" fillId="0" borderId="76" xfId="56" applyNumberFormat="1" applyFont="1" applyFill="1" applyBorder="1" applyAlignment="1">
      <alignment horizontal="right" vertical="center" wrapText="1"/>
      <protection/>
    </xf>
    <xf numFmtId="193" fontId="0" fillId="0" borderId="103" xfId="56" applyNumberFormat="1" applyFont="1" applyFill="1" applyBorder="1" applyAlignment="1">
      <alignment horizontal="right" vertical="center" wrapText="1"/>
      <protection/>
    </xf>
    <xf numFmtId="10" fontId="0" fillId="0" borderId="104" xfId="56" applyNumberFormat="1" applyFont="1" applyFill="1" applyBorder="1" applyAlignment="1">
      <alignment horizontal="center" vertical="center" wrapText="1"/>
      <protection/>
    </xf>
    <xf numFmtId="193" fontId="0" fillId="0" borderId="42" xfId="56" applyNumberFormat="1" applyFont="1" applyFill="1" applyBorder="1" applyAlignment="1">
      <alignment horizontal="right" vertical="center" wrapText="1"/>
      <protection/>
    </xf>
    <xf numFmtId="193" fontId="99" fillId="0" borderId="42" xfId="56" applyNumberFormat="1" applyFont="1" applyFill="1" applyBorder="1" applyAlignment="1">
      <alignment horizontal="right" vertical="center" wrapText="1"/>
      <protection/>
    </xf>
    <xf numFmtId="193" fontId="90" fillId="0" borderId="16" xfId="56" applyNumberFormat="1" applyFont="1" applyFill="1" applyBorder="1" applyAlignment="1">
      <alignment horizontal="right" vertical="center" wrapText="1"/>
      <protection/>
    </xf>
    <xf numFmtId="193" fontId="90" fillId="0" borderId="16" xfId="56" applyNumberFormat="1" applyFont="1" applyFill="1" applyBorder="1" applyAlignment="1">
      <alignment horizontal="center" vertical="center" wrapText="1"/>
      <protection/>
    </xf>
    <xf numFmtId="0" fontId="35" fillId="0" borderId="42" xfId="0" applyFont="1" applyFill="1" applyBorder="1" applyAlignment="1" applyProtection="1">
      <alignment horizontal="center" vertical="center"/>
      <protection/>
    </xf>
    <xf numFmtId="0" fontId="10" fillId="0" borderId="105" xfId="0" applyFont="1" applyFill="1" applyBorder="1" applyAlignment="1" applyProtection="1">
      <alignment horizontal="center" vertical="center" wrapText="1"/>
      <protection/>
    </xf>
    <xf numFmtId="0" fontId="10" fillId="0" borderId="106" xfId="0" applyFont="1" applyFill="1" applyBorder="1" applyAlignment="1" applyProtection="1">
      <alignment horizontal="center" vertical="center" wrapText="1"/>
      <protection/>
    </xf>
    <xf numFmtId="0" fontId="10" fillId="0" borderId="101" xfId="0" applyFont="1" applyFill="1" applyBorder="1" applyAlignment="1" applyProtection="1">
      <alignment horizontal="center" vertical="center" wrapText="1"/>
      <protection/>
    </xf>
    <xf numFmtId="0" fontId="10" fillId="0" borderId="4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107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79" xfId="0" applyFont="1" applyFill="1" applyBorder="1" applyAlignment="1" applyProtection="1">
      <alignment horizontal="center" vertical="center" wrapText="1"/>
      <protection/>
    </xf>
    <xf numFmtId="0" fontId="34" fillId="0" borderId="42" xfId="0" applyFont="1" applyFill="1" applyBorder="1" applyAlignment="1" applyProtection="1">
      <alignment horizontal="left" vertical="center"/>
      <protection/>
    </xf>
    <xf numFmtId="0" fontId="34" fillId="0" borderId="42" xfId="0" applyFont="1" applyBorder="1" applyAlignment="1">
      <alignment horizontal="left" vertical="center"/>
    </xf>
    <xf numFmtId="180" fontId="33" fillId="0" borderId="42" xfId="0" applyNumberFormat="1" applyFont="1" applyBorder="1" applyAlignment="1" applyProtection="1">
      <alignment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05" xfId="0" applyFill="1" applyBorder="1" applyAlignment="1" applyProtection="1">
      <alignment horizontal="center" vertical="top" wrapText="1"/>
      <protection/>
    </xf>
    <xf numFmtId="0" fontId="0" fillId="0" borderId="106" xfId="0" applyFill="1" applyBorder="1" applyAlignment="1" applyProtection="1">
      <alignment horizontal="center" vertical="top"/>
      <protection/>
    </xf>
    <xf numFmtId="0" fontId="0" fillId="0" borderId="101" xfId="0" applyFill="1" applyBorder="1" applyAlignment="1" applyProtection="1">
      <alignment horizontal="center" vertical="top"/>
      <protection/>
    </xf>
    <xf numFmtId="0" fontId="0" fillId="0" borderId="49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50" xfId="0" applyFill="1" applyBorder="1" applyAlignment="1" applyProtection="1">
      <alignment horizontal="center" vertical="top"/>
      <protection/>
    </xf>
    <xf numFmtId="180" fontId="1" fillId="0" borderId="57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45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/>
      <protection/>
    </xf>
    <xf numFmtId="0" fontId="7" fillId="0" borderId="45" xfId="0" applyFont="1" applyFill="1" applyBorder="1" applyAlignment="1" applyProtection="1">
      <alignment horizontal="left" vertical="center"/>
      <protection/>
    </xf>
    <xf numFmtId="0" fontId="7" fillId="0" borderId="46" xfId="0" applyFont="1" applyFill="1" applyBorder="1" applyAlignment="1" applyProtection="1">
      <alignment horizontal="left" vertical="center"/>
      <protection/>
    </xf>
    <xf numFmtId="4" fontId="6" fillId="0" borderId="58" xfId="0" applyNumberFormat="1" applyFont="1" applyFill="1" applyBorder="1" applyAlignment="1" applyProtection="1">
      <alignment horizontal="right" vertical="center"/>
      <protection/>
    </xf>
    <xf numFmtId="4" fontId="6" fillId="0" borderId="59" xfId="0" applyNumberFormat="1" applyFont="1" applyFill="1" applyBorder="1" applyAlignment="1" applyProtection="1">
      <alignment horizontal="right" vertical="center"/>
      <protection/>
    </xf>
    <xf numFmtId="4" fontId="6" fillId="0" borderId="60" xfId="0" applyNumberFormat="1" applyFont="1" applyFill="1" applyBorder="1" applyAlignment="1" applyProtection="1">
      <alignment horizontal="right" vertical="center"/>
      <protection/>
    </xf>
    <xf numFmtId="4" fontId="6" fillId="0" borderId="108" xfId="0" applyNumberFormat="1" applyFont="1" applyFill="1" applyBorder="1" applyAlignment="1" applyProtection="1">
      <alignment horizontal="right" vertical="center"/>
      <protection/>
    </xf>
    <xf numFmtId="4" fontId="6" fillId="0" borderId="109" xfId="0" applyNumberFormat="1" applyFont="1" applyFill="1" applyBorder="1" applyAlignment="1" applyProtection="1">
      <alignment horizontal="right" vertical="center"/>
      <protection/>
    </xf>
    <xf numFmtId="4" fontId="6" fillId="0" borderId="110" xfId="0" applyNumberFormat="1" applyFont="1" applyFill="1" applyBorder="1" applyAlignment="1" applyProtection="1">
      <alignment horizontal="right" vertical="center"/>
      <protection/>
    </xf>
    <xf numFmtId="0" fontId="7" fillId="33" borderId="33" xfId="0" applyFont="1" applyFill="1" applyBorder="1" applyAlignment="1" applyProtection="1">
      <alignment horizontal="left" vertical="center" wrapText="1"/>
      <protection/>
    </xf>
    <xf numFmtId="4" fontId="6" fillId="0" borderId="111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12" xfId="0" applyNumberFormat="1" applyFont="1" applyFill="1" applyBorder="1" applyAlignment="1" applyProtection="1">
      <alignment horizontal="right" vertical="center"/>
      <protection/>
    </xf>
    <xf numFmtId="4" fontId="6" fillId="0" borderId="57" xfId="0" applyNumberFormat="1" applyFont="1" applyFill="1" applyBorder="1" applyAlignment="1" applyProtection="1">
      <alignment horizontal="right" vertical="center"/>
      <protection/>
    </xf>
    <xf numFmtId="4" fontId="6" fillId="0" borderId="32" xfId="0" applyNumberFormat="1" applyFont="1" applyFill="1" applyBorder="1" applyAlignment="1" applyProtection="1">
      <alignment horizontal="right" vertical="center"/>
      <protection/>
    </xf>
    <xf numFmtId="4" fontId="6" fillId="0" borderId="45" xfId="0" applyNumberFormat="1" applyFont="1" applyFill="1" applyBorder="1" applyAlignment="1" applyProtection="1">
      <alignment horizontal="right" vertical="center"/>
      <protection/>
    </xf>
    <xf numFmtId="4" fontId="6" fillId="0" borderId="46" xfId="0" applyNumberFormat="1" applyFont="1" applyFill="1" applyBorder="1" applyAlignment="1" applyProtection="1">
      <alignment horizontal="right" vertical="center"/>
      <protection/>
    </xf>
    <xf numFmtId="4" fontId="6" fillId="0" borderId="32" xfId="0" applyNumberFormat="1" applyFont="1" applyFill="1" applyBorder="1" applyAlignment="1" applyProtection="1">
      <alignment horizontal="center" vertical="center"/>
      <protection/>
    </xf>
    <xf numFmtId="4" fontId="6" fillId="0" borderId="45" xfId="0" applyNumberFormat="1" applyFont="1" applyFill="1" applyBorder="1" applyAlignment="1" applyProtection="1">
      <alignment horizontal="center" vertical="center"/>
      <protection/>
    </xf>
    <xf numFmtId="4" fontId="6" fillId="0" borderId="46" xfId="0" applyNumberFormat="1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>
      <alignment horizontal="left" vertical="center"/>
    </xf>
    <xf numFmtId="0" fontId="7" fillId="37" borderId="45" xfId="0" applyFont="1" applyFill="1" applyBorder="1" applyAlignment="1">
      <alignment horizontal="left" vertical="center"/>
    </xf>
    <xf numFmtId="0" fontId="7" fillId="37" borderId="46" xfId="0" applyFont="1" applyFill="1" applyBorder="1" applyAlignment="1">
      <alignment horizontal="left" vertical="center"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0" fontId="7" fillId="33" borderId="40" xfId="0" applyFont="1" applyFill="1" applyBorder="1" applyAlignment="1">
      <alignment horizontal="right" vertical="center" wrapText="1"/>
    </xf>
    <xf numFmtId="0" fontId="7" fillId="33" borderId="41" xfId="0" applyFont="1" applyFill="1" applyBorder="1" applyAlignment="1">
      <alignment horizontal="right" vertical="center" wrapText="1"/>
    </xf>
    <xf numFmtId="0" fontId="7" fillId="33" borderId="31" xfId="0" applyFont="1" applyFill="1" applyBorder="1" applyAlignment="1">
      <alignment horizontal="right" vertical="center" wrapText="1"/>
    </xf>
    <xf numFmtId="0" fontId="89" fillId="38" borderId="81" xfId="0" applyFont="1" applyFill="1" applyBorder="1" applyAlignment="1">
      <alignment horizontal="left" vertical="center"/>
    </xf>
    <xf numFmtId="0" fontId="89" fillId="38" borderId="82" xfId="0" applyFont="1" applyFill="1" applyBorder="1" applyAlignment="1">
      <alignment horizontal="left" vertical="center"/>
    </xf>
    <xf numFmtId="0" fontId="89" fillId="38" borderId="62" xfId="0" applyFont="1" applyFill="1" applyBorder="1" applyAlignment="1">
      <alignment horizontal="left" vertical="center"/>
    </xf>
    <xf numFmtId="10" fontId="89" fillId="38" borderId="82" xfId="0" applyNumberFormat="1" applyFont="1" applyFill="1" applyBorder="1" applyAlignment="1">
      <alignment horizontal="center" vertical="center"/>
    </xf>
    <xf numFmtId="10" fontId="89" fillId="38" borderId="62" xfId="0" applyNumberFormat="1" applyFont="1" applyFill="1" applyBorder="1" applyAlignment="1">
      <alignment horizontal="center" vertical="center"/>
    </xf>
    <xf numFmtId="0" fontId="88" fillId="38" borderId="88" xfId="0" applyFont="1" applyFill="1" applyBorder="1" applyAlignment="1">
      <alignment horizontal="center" vertical="center"/>
    </xf>
    <xf numFmtId="0" fontId="88" fillId="38" borderId="61" xfId="0" applyFont="1" applyFill="1" applyBorder="1" applyAlignment="1">
      <alignment horizontal="center" vertical="center"/>
    </xf>
    <xf numFmtId="0" fontId="88" fillId="38" borderId="113" xfId="0" applyFont="1" applyFill="1" applyBorder="1" applyAlignment="1">
      <alignment horizontal="center" vertical="center"/>
    </xf>
    <xf numFmtId="0" fontId="88" fillId="38" borderId="77" xfId="0" applyFont="1" applyFill="1" applyBorder="1" applyAlignment="1">
      <alignment horizontal="center" vertical="center"/>
    </xf>
    <xf numFmtId="0" fontId="88" fillId="38" borderId="107" xfId="0" applyFont="1" applyFill="1" applyBorder="1" applyAlignment="1">
      <alignment horizontal="center" vertical="center"/>
    </xf>
    <xf numFmtId="0" fontId="88" fillId="38" borderId="79" xfId="0" applyFont="1" applyFill="1" applyBorder="1" applyAlignment="1">
      <alignment horizontal="center" vertical="center"/>
    </xf>
    <xf numFmtId="0" fontId="88" fillId="38" borderId="114" xfId="0" applyFont="1" applyFill="1" applyBorder="1" applyAlignment="1">
      <alignment horizontal="right" vertical="center"/>
    </xf>
    <xf numFmtId="0" fontId="88" fillId="38" borderId="115" xfId="0" applyFont="1" applyFill="1" applyBorder="1" applyAlignment="1">
      <alignment horizontal="right" vertical="center"/>
    </xf>
    <xf numFmtId="0" fontId="88" fillId="38" borderId="98" xfId="0" applyFont="1" applyFill="1" applyBorder="1" applyAlignment="1">
      <alignment horizontal="right" vertical="center"/>
    </xf>
    <xf numFmtId="0" fontId="89" fillId="38" borderId="116" xfId="0" applyFont="1" applyFill="1" applyBorder="1" applyAlignment="1">
      <alignment horizontal="left" vertical="center"/>
    </xf>
    <xf numFmtId="0" fontId="89" fillId="38" borderId="117" xfId="0" applyFont="1" applyFill="1" applyBorder="1" applyAlignment="1">
      <alignment horizontal="left" vertical="center"/>
    </xf>
    <xf numFmtId="0" fontId="89" fillId="38" borderId="84" xfId="0" applyFont="1" applyFill="1" applyBorder="1" applyAlignment="1">
      <alignment horizontal="left" vertical="center"/>
    </xf>
    <xf numFmtId="0" fontId="89" fillId="38" borderId="118" xfId="0" applyFont="1" applyFill="1" applyBorder="1" applyAlignment="1">
      <alignment horizontal="left" vertical="center"/>
    </xf>
    <xf numFmtId="0" fontId="89" fillId="38" borderId="119" xfId="0" applyFont="1" applyFill="1" applyBorder="1" applyAlignment="1">
      <alignment horizontal="left" vertical="center"/>
    </xf>
    <xf numFmtId="0" fontId="89" fillId="38" borderId="120" xfId="0" applyFont="1" applyFill="1" applyBorder="1" applyAlignment="1">
      <alignment horizontal="left" vertical="center"/>
    </xf>
    <xf numFmtId="0" fontId="86" fillId="34" borderId="121" xfId="0" applyFont="1" applyFill="1" applyBorder="1" applyAlignment="1">
      <alignment horizontal="center" vertical="center"/>
    </xf>
    <xf numFmtId="0" fontId="86" fillId="34" borderId="61" xfId="0" applyFont="1" applyFill="1" applyBorder="1" applyAlignment="1">
      <alignment horizontal="center" vertical="center"/>
    </xf>
    <xf numFmtId="0" fontId="86" fillId="42" borderId="121" xfId="0" applyFont="1" applyFill="1" applyBorder="1" applyAlignment="1">
      <alignment horizontal="center" vertical="center"/>
    </xf>
    <xf numFmtId="0" fontId="86" fillId="42" borderId="61" xfId="0" applyFont="1" applyFill="1" applyBorder="1" applyAlignment="1">
      <alignment horizontal="center" vertical="center"/>
    </xf>
    <xf numFmtId="0" fontId="88" fillId="38" borderId="89" xfId="0" applyFont="1" applyFill="1" applyBorder="1" applyAlignment="1">
      <alignment horizontal="center" vertical="center"/>
    </xf>
    <xf numFmtId="191" fontId="89" fillId="38" borderId="32" xfId="0" applyNumberFormat="1" applyFont="1" applyFill="1" applyBorder="1" applyAlignment="1">
      <alignment horizontal="center" vertical="center"/>
    </xf>
    <xf numFmtId="191" fontId="89" fillId="38" borderId="45" xfId="0" applyNumberFormat="1" applyFont="1" applyFill="1" applyBorder="1" applyAlignment="1">
      <alignment horizontal="center" vertical="center"/>
    </xf>
    <xf numFmtId="191" fontId="89" fillId="38" borderId="46" xfId="0" applyNumberFormat="1" applyFont="1" applyFill="1" applyBorder="1" applyAlignment="1">
      <alignment horizontal="center" vertical="center"/>
    </xf>
    <xf numFmtId="0" fontId="89" fillId="38" borderId="32" xfId="0" applyFont="1" applyFill="1" applyBorder="1" applyAlignment="1">
      <alignment horizontal="center" vertical="center"/>
    </xf>
    <xf numFmtId="0" fontId="89" fillId="38" borderId="46" xfId="0" applyFont="1" applyFill="1" applyBorder="1" applyAlignment="1">
      <alignment horizontal="center" vertical="center"/>
    </xf>
    <xf numFmtId="4" fontId="89" fillId="38" borderId="32" xfId="0" applyNumberFormat="1" applyFont="1" applyFill="1" applyBorder="1" applyAlignment="1">
      <alignment horizontal="center" vertical="center"/>
    </xf>
    <xf numFmtId="4" fontId="89" fillId="38" borderId="46" xfId="0" applyNumberFormat="1" applyFont="1" applyFill="1" applyBorder="1" applyAlignment="1">
      <alignment horizontal="center" vertical="center"/>
    </xf>
    <xf numFmtId="190" fontId="89" fillId="38" borderId="32" xfId="0" applyNumberFormat="1" applyFont="1" applyFill="1" applyBorder="1" applyAlignment="1">
      <alignment horizontal="center" vertical="center"/>
    </xf>
    <xf numFmtId="190" fontId="89" fillId="38" borderId="45" xfId="0" applyNumberFormat="1" applyFont="1" applyFill="1" applyBorder="1" applyAlignment="1">
      <alignment horizontal="center" vertical="center"/>
    </xf>
    <xf numFmtId="190" fontId="89" fillId="38" borderId="46" xfId="0" applyNumberFormat="1" applyFont="1" applyFill="1" applyBorder="1" applyAlignment="1">
      <alignment horizontal="center" vertical="center"/>
    </xf>
    <xf numFmtId="4" fontId="89" fillId="38" borderId="45" xfId="0" applyNumberFormat="1" applyFont="1" applyFill="1" applyBorder="1" applyAlignment="1">
      <alignment horizontal="center" vertical="center"/>
    </xf>
    <xf numFmtId="0" fontId="86" fillId="34" borderId="42" xfId="0" applyFont="1" applyFill="1" applyBorder="1" applyAlignment="1">
      <alignment horizontal="center" vertical="center"/>
    </xf>
    <xf numFmtId="0" fontId="86" fillId="34" borderId="86" xfId="0" applyFont="1" applyFill="1" applyBorder="1" applyAlignment="1">
      <alignment horizontal="center" vertical="center"/>
    </xf>
    <xf numFmtId="0" fontId="86" fillId="34" borderId="74" xfId="0" applyFont="1" applyFill="1" applyBorder="1" applyAlignment="1">
      <alignment horizontal="center" vertical="center"/>
    </xf>
    <xf numFmtId="0" fontId="86" fillId="34" borderId="104" xfId="0" applyFont="1" applyFill="1" applyBorder="1" applyAlignment="1">
      <alignment horizontal="right" vertical="center"/>
    </xf>
    <xf numFmtId="0" fontId="86" fillId="34" borderId="98" xfId="0" applyFont="1" applyFill="1" applyBorder="1" applyAlignment="1">
      <alignment horizontal="right" vertical="center"/>
    </xf>
    <xf numFmtId="0" fontId="86" fillId="34" borderId="94" xfId="0" applyFont="1" applyFill="1" applyBorder="1" applyAlignment="1">
      <alignment horizontal="right" vertical="center"/>
    </xf>
    <xf numFmtId="0" fontId="86" fillId="34" borderId="88" xfId="0" applyFont="1" applyFill="1" applyBorder="1" applyAlignment="1">
      <alignment horizontal="center" vertical="center"/>
    </xf>
    <xf numFmtId="0" fontId="86" fillId="34" borderId="89" xfId="0" applyFont="1" applyFill="1" applyBorder="1" applyAlignment="1">
      <alignment horizontal="center" vertical="center"/>
    </xf>
    <xf numFmtId="0" fontId="86" fillId="34" borderId="44" xfId="0" applyFont="1" applyFill="1" applyBorder="1" applyAlignment="1">
      <alignment horizontal="center" vertical="center"/>
    </xf>
    <xf numFmtId="0" fontId="7" fillId="34" borderId="93" xfId="59" applyFont="1" applyFill="1" applyBorder="1" applyAlignment="1">
      <alignment horizontal="center" vertical="center"/>
      <protection/>
    </xf>
    <xf numFmtId="0" fontId="7" fillId="34" borderId="76" xfId="59" applyFont="1" applyFill="1" applyBorder="1" applyAlignment="1">
      <alignment horizontal="center" vertical="center"/>
      <protection/>
    </xf>
    <xf numFmtId="0" fontId="7" fillId="34" borderId="42" xfId="59" applyFont="1" applyFill="1" applyBorder="1" applyAlignment="1">
      <alignment horizontal="center" vertical="center"/>
      <protection/>
    </xf>
    <xf numFmtId="0" fontId="86" fillId="34" borderId="88" xfId="0" applyFont="1" applyFill="1" applyBorder="1" applyAlignment="1">
      <alignment horizontal="left" vertical="center" wrapText="1"/>
    </xf>
    <xf numFmtId="0" fontId="86" fillId="34" borderId="89" xfId="0" applyFont="1" applyFill="1" applyBorder="1" applyAlignment="1">
      <alignment horizontal="left" vertical="center" wrapText="1"/>
    </xf>
    <xf numFmtId="0" fontId="86" fillId="34" borderId="90" xfId="0" applyFont="1" applyFill="1" applyBorder="1" applyAlignment="1">
      <alignment horizontal="left" vertical="center" wrapText="1"/>
    </xf>
    <xf numFmtId="0" fontId="86" fillId="34" borderId="114" xfId="0" applyFont="1" applyFill="1" applyBorder="1" applyAlignment="1">
      <alignment horizontal="left" vertical="center"/>
    </xf>
    <xf numFmtId="0" fontId="86" fillId="34" borderId="115" xfId="0" applyFont="1" applyFill="1" applyBorder="1" applyAlignment="1">
      <alignment horizontal="left" vertical="center"/>
    </xf>
    <xf numFmtId="0" fontId="86" fillId="34" borderId="98" xfId="0" applyFont="1" applyFill="1" applyBorder="1" applyAlignment="1">
      <alignment horizontal="left" vertical="center"/>
    </xf>
    <xf numFmtId="0" fontId="86" fillId="34" borderId="94" xfId="0" applyFont="1" applyFill="1" applyBorder="1" applyAlignment="1">
      <alignment horizontal="center" vertical="center"/>
    </xf>
    <xf numFmtId="0" fontId="86" fillId="34" borderId="97" xfId="0" applyFont="1" applyFill="1" applyBorder="1" applyAlignment="1">
      <alignment horizontal="center" vertical="center"/>
    </xf>
    <xf numFmtId="0" fontId="86" fillId="34" borderId="115" xfId="0" applyFont="1" applyFill="1" applyBorder="1" applyAlignment="1">
      <alignment horizontal="center" vertical="center"/>
    </xf>
    <xf numFmtId="0" fontId="86" fillId="34" borderId="122" xfId="0" applyFont="1" applyFill="1" applyBorder="1" applyAlignment="1">
      <alignment horizontal="center" vertical="center"/>
    </xf>
    <xf numFmtId="0" fontId="7" fillId="34" borderId="86" xfId="59" applyFont="1" applyFill="1" applyBorder="1" applyAlignment="1">
      <alignment horizontal="center" vertical="center"/>
      <protection/>
    </xf>
    <xf numFmtId="2" fontId="87" fillId="34" borderId="123" xfId="0" applyNumberFormat="1" applyFont="1" applyFill="1" applyBorder="1" applyAlignment="1">
      <alignment horizontal="center" vertical="center"/>
    </xf>
    <xf numFmtId="2" fontId="87" fillId="34" borderId="82" xfId="0" applyNumberFormat="1" applyFont="1" applyFill="1" applyBorder="1" applyAlignment="1">
      <alignment horizontal="center" vertical="center"/>
    </xf>
    <xf numFmtId="2" fontId="87" fillId="34" borderId="62" xfId="0" applyNumberFormat="1" applyFont="1" applyFill="1" applyBorder="1" applyAlignment="1">
      <alignment horizontal="center" vertical="center"/>
    </xf>
    <xf numFmtId="0" fontId="87" fillId="34" borderId="123" xfId="0" applyFont="1" applyFill="1" applyBorder="1" applyAlignment="1">
      <alignment horizontal="center" vertical="center"/>
    </xf>
    <xf numFmtId="0" fontId="87" fillId="34" borderId="62" xfId="0" applyFont="1" applyFill="1" applyBorder="1" applyAlignment="1">
      <alignment horizontal="center" vertical="center"/>
    </xf>
    <xf numFmtId="0" fontId="86" fillId="34" borderId="76" xfId="0" applyFont="1" applyFill="1" applyBorder="1" applyAlignment="1">
      <alignment horizontal="right" vertical="center"/>
    </xf>
    <xf numFmtId="0" fontId="86" fillId="34" borderId="46" xfId="0" applyFont="1" applyFill="1" applyBorder="1" applyAlignment="1">
      <alignment horizontal="right" vertical="center"/>
    </xf>
    <xf numFmtId="0" fontId="86" fillId="34" borderId="42" xfId="0" applyFont="1" applyFill="1" applyBorder="1" applyAlignment="1">
      <alignment horizontal="right" vertical="center"/>
    </xf>
    <xf numFmtId="190" fontId="87" fillId="34" borderId="19" xfId="0" applyNumberFormat="1" applyFont="1" applyFill="1" applyBorder="1" applyAlignment="1">
      <alignment horizontal="center" vertical="center"/>
    </xf>
    <xf numFmtId="4" fontId="87" fillId="34" borderId="19" xfId="0" applyNumberFormat="1" applyFont="1" applyFill="1" applyBorder="1" applyAlignment="1">
      <alignment horizontal="center" vertical="center"/>
    </xf>
    <xf numFmtId="191" fontId="87" fillId="34" borderId="26" xfId="0" applyNumberFormat="1" applyFont="1" applyFill="1" applyBorder="1" applyAlignment="1">
      <alignment horizontal="center" vertical="center"/>
    </xf>
    <xf numFmtId="2" fontId="87" fillId="34" borderId="124" xfId="0" applyNumberFormat="1" applyFont="1" applyFill="1" applyBorder="1" applyAlignment="1">
      <alignment horizontal="center" vertical="center"/>
    </xf>
    <xf numFmtId="2" fontId="87" fillId="34" borderId="69" xfId="0" applyNumberFormat="1" applyFont="1" applyFill="1" applyBorder="1" applyAlignment="1">
      <alignment horizontal="center" vertical="center"/>
    </xf>
    <xf numFmtId="0" fontId="86" fillId="34" borderId="125" xfId="0" applyFont="1" applyFill="1" applyBorder="1" applyAlignment="1">
      <alignment horizontal="right" vertical="center"/>
    </xf>
    <xf numFmtId="0" fontId="86" fillId="34" borderId="101" xfId="0" applyFont="1" applyFill="1" applyBorder="1" applyAlignment="1">
      <alignment horizontal="right" vertical="center"/>
    </xf>
    <xf numFmtId="0" fontId="86" fillId="34" borderId="75" xfId="0" applyFont="1" applyFill="1" applyBorder="1" applyAlignment="1">
      <alignment horizontal="right" vertical="center"/>
    </xf>
    <xf numFmtId="0" fontId="7" fillId="34" borderId="15" xfId="59" applyFont="1" applyFill="1" applyBorder="1" applyAlignment="1">
      <alignment horizontal="center" vertical="center"/>
      <protection/>
    </xf>
    <xf numFmtId="0" fontId="7" fillId="34" borderId="44" xfId="59" applyFont="1" applyFill="1" applyBorder="1" applyAlignment="1">
      <alignment horizontal="center" vertical="center"/>
      <protection/>
    </xf>
    <xf numFmtId="0" fontId="86" fillId="34" borderId="17" xfId="0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 horizontal="center" vertical="center"/>
    </xf>
    <xf numFmtId="190" fontId="87" fillId="0" borderId="124" xfId="0" applyNumberFormat="1" applyFont="1" applyFill="1" applyBorder="1" applyAlignment="1">
      <alignment horizontal="center" vertical="center"/>
    </xf>
    <xf numFmtId="190" fontId="87" fillId="0" borderId="69" xfId="0" applyNumberFormat="1" applyFont="1" applyFill="1" applyBorder="1" applyAlignment="1">
      <alignment horizontal="center" vertical="center"/>
    </xf>
    <xf numFmtId="192" fontId="87" fillId="0" borderId="124" xfId="0" applyNumberFormat="1" applyFont="1" applyFill="1" applyBorder="1" applyAlignment="1">
      <alignment horizontal="center" vertical="center"/>
    </xf>
    <xf numFmtId="192" fontId="87" fillId="0" borderId="69" xfId="0" applyNumberFormat="1" applyFont="1" applyFill="1" applyBorder="1" applyAlignment="1">
      <alignment horizontal="center" vertical="center"/>
    </xf>
    <xf numFmtId="0" fontId="87" fillId="34" borderId="83" xfId="0" applyFont="1" applyFill="1" applyBorder="1" applyAlignment="1">
      <alignment horizontal="center" vertical="center"/>
    </xf>
    <xf numFmtId="0" fontId="87" fillId="34" borderId="84" xfId="0" applyFont="1" applyFill="1" applyBorder="1" applyAlignment="1">
      <alignment horizontal="center" vertical="center"/>
    </xf>
    <xf numFmtId="0" fontId="87" fillId="34" borderId="80" xfId="0" applyFont="1" applyFill="1" applyBorder="1" applyAlignment="1">
      <alignment horizontal="center" vertical="center"/>
    </xf>
    <xf numFmtId="0" fontId="87" fillId="34" borderId="85" xfId="0" applyFont="1" applyFill="1" applyBorder="1" applyAlignment="1">
      <alignment horizontal="center" vertical="center"/>
    </xf>
    <xf numFmtId="0" fontId="87" fillId="34" borderId="126" xfId="0" applyFont="1" applyFill="1" applyBorder="1" applyAlignment="1">
      <alignment horizontal="left" vertical="center"/>
    </xf>
    <xf numFmtId="0" fontId="87" fillId="34" borderId="120" xfId="0" applyFont="1" applyFill="1" applyBorder="1" applyAlignment="1">
      <alignment horizontal="left" vertical="center"/>
    </xf>
    <xf numFmtId="0" fontId="87" fillId="34" borderId="127" xfId="0" applyFont="1" applyFill="1" applyBorder="1" applyAlignment="1">
      <alignment horizontal="left" vertical="center"/>
    </xf>
    <xf numFmtId="0" fontId="87" fillId="34" borderId="81" xfId="0" applyFont="1" applyFill="1" applyBorder="1" applyAlignment="1">
      <alignment horizontal="left" vertical="center"/>
    </xf>
    <xf numFmtId="0" fontId="87" fillId="34" borderId="82" xfId="0" applyFont="1" applyFill="1" applyBorder="1" applyAlignment="1">
      <alignment horizontal="left" vertical="center"/>
    </xf>
    <xf numFmtId="10" fontId="87" fillId="34" borderId="82" xfId="0" applyNumberFormat="1" applyFont="1" applyFill="1" applyBorder="1" applyAlignment="1">
      <alignment horizontal="center" vertical="center"/>
    </xf>
    <xf numFmtId="10" fontId="87" fillId="34" borderId="62" xfId="0" applyNumberFormat="1" applyFont="1" applyFill="1" applyBorder="1" applyAlignment="1">
      <alignment horizontal="center" vertical="center"/>
    </xf>
    <xf numFmtId="0" fontId="86" fillId="34" borderId="128" xfId="0" applyFont="1" applyFill="1" applyBorder="1" applyAlignment="1">
      <alignment horizontal="left" vertical="center"/>
    </xf>
    <xf numFmtId="0" fontId="86" fillId="34" borderId="129" xfId="0" applyFont="1" applyFill="1" applyBorder="1" applyAlignment="1">
      <alignment horizontal="left" vertical="center"/>
    </xf>
    <xf numFmtId="0" fontId="86" fillId="34" borderId="130" xfId="0" applyFont="1" applyFill="1" applyBorder="1" applyAlignment="1">
      <alignment horizontal="left" vertical="center"/>
    </xf>
    <xf numFmtId="0" fontId="86" fillId="0" borderId="88" xfId="0" applyFont="1" applyFill="1" applyBorder="1" applyAlignment="1">
      <alignment horizontal="left" vertical="center" wrapText="1"/>
    </xf>
    <xf numFmtId="0" fontId="86" fillId="0" borderId="89" xfId="0" applyFont="1" applyFill="1" applyBorder="1" applyAlignment="1">
      <alignment horizontal="left" vertical="center" wrapText="1"/>
    </xf>
    <xf numFmtId="0" fontId="86" fillId="0" borderId="90" xfId="0" applyFont="1" applyFill="1" applyBorder="1" applyAlignment="1">
      <alignment horizontal="left" vertical="center" wrapText="1"/>
    </xf>
    <xf numFmtId="0" fontId="88" fillId="38" borderId="97" xfId="0" applyFont="1" applyFill="1" applyBorder="1" applyAlignment="1">
      <alignment horizontal="center" vertical="center"/>
    </xf>
    <xf numFmtId="0" fontId="88" fillId="38" borderId="115" xfId="0" applyFont="1" applyFill="1" applyBorder="1" applyAlignment="1">
      <alignment horizontal="center" vertical="center"/>
    </xf>
    <xf numFmtId="0" fontId="88" fillId="38" borderId="122" xfId="0" applyFont="1" applyFill="1" applyBorder="1" applyAlignment="1">
      <alignment horizontal="center" vertical="center"/>
    </xf>
    <xf numFmtId="0" fontId="100" fillId="34" borderId="42" xfId="0" applyFont="1" applyFill="1" applyBorder="1" applyAlignment="1">
      <alignment horizontal="center" vertical="center"/>
    </xf>
    <xf numFmtId="0" fontId="86" fillId="0" borderId="121" xfId="0" applyFont="1" applyFill="1" applyBorder="1" applyAlignment="1">
      <alignment horizontal="center" vertical="center"/>
    </xf>
    <xf numFmtId="0" fontId="86" fillId="0" borderId="61" xfId="0" applyFont="1" applyFill="1" applyBorder="1" applyAlignment="1">
      <alignment horizontal="center" vertical="center"/>
    </xf>
    <xf numFmtId="0" fontId="87" fillId="34" borderId="32" xfId="0" applyFont="1" applyFill="1" applyBorder="1" applyAlignment="1">
      <alignment horizontal="center" vertical="center"/>
    </xf>
    <xf numFmtId="0" fontId="87" fillId="34" borderId="46" xfId="0" applyFont="1" applyFill="1" applyBorder="1" applyAlignment="1">
      <alignment horizontal="center" vertical="center"/>
    </xf>
    <xf numFmtId="0" fontId="7" fillId="38" borderId="100" xfId="0" applyFont="1" applyFill="1" applyBorder="1" applyAlignment="1">
      <alignment horizontal="center" vertical="center"/>
    </xf>
    <xf numFmtId="0" fontId="7" fillId="38" borderId="86" xfId="0" applyFont="1" applyFill="1" applyBorder="1" applyAlignment="1">
      <alignment horizontal="center" vertical="center"/>
    </xf>
    <xf numFmtId="0" fontId="7" fillId="38" borderId="100" xfId="0" applyFont="1" applyFill="1" applyBorder="1" applyAlignment="1">
      <alignment horizontal="center" vertical="center" wrapText="1"/>
    </xf>
    <xf numFmtId="0" fontId="7" fillId="38" borderId="86" xfId="0" applyFont="1" applyFill="1" applyBorder="1" applyAlignment="1">
      <alignment horizontal="center" vertical="center" wrapText="1"/>
    </xf>
    <xf numFmtId="0" fontId="88" fillId="38" borderId="90" xfId="0" applyFont="1" applyFill="1" applyBorder="1" applyAlignment="1">
      <alignment horizontal="center" vertical="center"/>
    </xf>
    <xf numFmtId="0" fontId="88" fillId="38" borderId="131" xfId="0" applyFont="1" applyFill="1" applyBorder="1" applyAlignment="1">
      <alignment horizontal="right" vertical="center"/>
    </xf>
    <xf numFmtId="0" fontId="88" fillId="38" borderId="45" xfId="0" applyFont="1" applyFill="1" applyBorder="1" applyAlignment="1">
      <alignment horizontal="right" vertical="center"/>
    </xf>
    <xf numFmtId="0" fontId="88" fillId="38" borderId="46" xfId="0" applyFont="1" applyFill="1" applyBorder="1" applyAlignment="1">
      <alignment horizontal="right" vertical="center"/>
    </xf>
    <xf numFmtId="190" fontId="87" fillId="34" borderId="124" xfId="0" applyNumberFormat="1" applyFont="1" applyFill="1" applyBorder="1" applyAlignment="1">
      <alignment horizontal="center" vertical="center"/>
    </xf>
    <xf numFmtId="190" fontId="87" fillId="34" borderId="69" xfId="0" applyNumberFormat="1" applyFont="1" applyFill="1" applyBorder="1" applyAlignment="1">
      <alignment horizontal="center" vertical="center"/>
    </xf>
    <xf numFmtId="192" fontId="87" fillId="34" borderId="19" xfId="0" applyNumberFormat="1" applyFont="1" applyFill="1" applyBorder="1" applyAlignment="1">
      <alignment horizontal="center" vertical="center"/>
    </xf>
    <xf numFmtId="2" fontId="87" fillId="34" borderId="42" xfId="0" applyNumberFormat="1" applyFont="1" applyFill="1" applyBorder="1" applyAlignment="1">
      <alignment horizontal="center" vertical="center"/>
    </xf>
    <xf numFmtId="0" fontId="7" fillId="34" borderId="86" xfId="59" applyFont="1" applyFill="1" applyBorder="1" applyAlignment="1">
      <alignment horizontal="center" vertical="center" wrapText="1"/>
      <protection/>
    </xf>
    <xf numFmtId="0" fontId="7" fillId="34" borderId="42" xfId="59" applyFont="1" applyFill="1" applyBorder="1" applyAlignment="1">
      <alignment horizontal="center" vertical="center" wrapText="1"/>
      <protection/>
    </xf>
    <xf numFmtId="0" fontId="86" fillId="42" borderId="128" xfId="0" applyFont="1" applyFill="1" applyBorder="1" applyAlignment="1">
      <alignment horizontal="left" vertical="center"/>
    </xf>
    <xf numFmtId="0" fontId="86" fillId="42" borderId="129" xfId="0" applyFont="1" applyFill="1" applyBorder="1" applyAlignment="1">
      <alignment horizontal="left" vertical="center"/>
    </xf>
    <xf numFmtId="0" fontId="86" fillId="42" borderId="130" xfId="0" applyFont="1" applyFill="1" applyBorder="1" applyAlignment="1">
      <alignment horizontal="left" vertical="center"/>
    </xf>
    <xf numFmtId="0" fontId="88" fillId="41" borderId="132" xfId="0" applyFont="1" applyFill="1" applyBorder="1" applyAlignment="1">
      <alignment horizontal="center" vertical="center"/>
    </xf>
    <xf numFmtId="0" fontId="88" fillId="41" borderId="74" xfId="0" applyFont="1" applyFill="1" applyBorder="1" applyAlignment="1">
      <alignment horizontal="center" vertical="center"/>
    </xf>
    <xf numFmtId="190" fontId="89" fillId="42" borderId="32" xfId="0" applyNumberFormat="1" applyFont="1" applyFill="1" applyBorder="1" applyAlignment="1">
      <alignment horizontal="center" vertical="center"/>
    </xf>
    <xf numFmtId="190" fontId="89" fillId="42" borderId="46" xfId="0" applyNumberFormat="1" applyFont="1" applyFill="1" applyBorder="1" applyAlignment="1">
      <alignment horizontal="center" vertical="center"/>
    </xf>
    <xf numFmtId="192" fontId="89" fillId="42" borderId="32" xfId="0" applyNumberFormat="1" applyFont="1" applyFill="1" applyBorder="1" applyAlignment="1">
      <alignment horizontal="center" vertical="center"/>
    </xf>
    <xf numFmtId="192" fontId="89" fillId="42" borderId="46" xfId="0" applyNumberFormat="1" applyFont="1" applyFill="1" applyBorder="1" applyAlignment="1">
      <alignment horizontal="center" vertical="center"/>
    </xf>
    <xf numFmtId="0" fontId="88" fillId="41" borderId="114" xfId="0" applyFont="1" applyFill="1" applyBorder="1" applyAlignment="1">
      <alignment horizontal="right" vertical="center"/>
    </xf>
    <xf numFmtId="0" fontId="88" fillId="41" borderId="115" xfId="0" applyFont="1" applyFill="1" applyBorder="1" applyAlignment="1">
      <alignment horizontal="right" vertical="center"/>
    </xf>
    <xf numFmtId="0" fontId="88" fillId="41" borderId="98" xfId="0" applyFont="1" applyFill="1" applyBorder="1" applyAlignment="1">
      <alignment horizontal="right" vertical="center"/>
    </xf>
    <xf numFmtId="0" fontId="89" fillId="41" borderId="116" xfId="0" applyFont="1" applyFill="1" applyBorder="1" applyAlignment="1">
      <alignment horizontal="left" vertical="center"/>
    </xf>
    <xf numFmtId="0" fontId="89" fillId="41" borderId="117" xfId="0" applyFont="1" applyFill="1" applyBorder="1" applyAlignment="1">
      <alignment horizontal="left" vertical="center"/>
    </xf>
    <xf numFmtId="0" fontId="89" fillId="41" borderId="84" xfId="0" applyFont="1" applyFill="1" applyBorder="1" applyAlignment="1">
      <alignment horizontal="left" vertical="center"/>
    </xf>
    <xf numFmtId="0" fontId="87" fillId="42" borderId="126" xfId="0" applyFont="1" applyFill="1" applyBorder="1" applyAlignment="1">
      <alignment horizontal="left" vertical="center"/>
    </xf>
    <xf numFmtId="0" fontId="87" fillId="42" borderId="120" xfId="0" applyFont="1" applyFill="1" applyBorder="1" applyAlignment="1">
      <alignment horizontal="left" vertical="center"/>
    </xf>
    <xf numFmtId="0" fontId="87" fillId="42" borderId="127" xfId="0" applyFont="1" applyFill="1" applyBorder="1" applyAlignment="1">
      <alignment horizontal="left" vertical="center"/>
    </xf>
    <xf numFmtId="10" fontId="87" fillId="42" borderId="82" xfId="0" applyNumberFormat="1" applyFont="1" applyFill="1" applyBorder="1" applyAlignment="1">
      <alignment horizontal="center" vertical="center"/>
    </xf>
    <xf numFmtId="10" fontId="87" fillId="42" borderId="62" xfId="0" applyNumberFormat="1" applyFont="1" applyFill="1" applyBorder="1" applyAlignment="1">
      <alignment horizontal="center" vertical="center"/>
    </xf>
    <xf numFmtId="0" fontId="87" fillId="42" borderId="81" xfId="0" applyFont="1" applyFill="1" applyBorder="1" applyAlignment="1">
      <alignment horizontal="left" vertical="center"/>
    </xf>
    <xf numFmtId="0" fontId="87" fillId="42" borderId="82" xfId="0" applyFont="1" applyFill="1" applyBorder="1" applyAlignment="1">
      <alignment horizontal="left" vertical="center"/>
    </xf>
    <xf numFmtId="191" fontId="89" fillId="41" borderId="32" xfId="0" applyNumberFormat="1" applyFont="1" applyFill="1" applyBorder="1" applyAlignment="1">
      <alignment horizontal="center" vertical="center"/>
    </xf>
    <xf numFmtId="191" fontId="89" fillId="41" borderId="45" xfId="0" applyNumberFormat="1" applyFont="1" applyFill="1" applyBorder="1" applyAlignment="1">
      <alignment horizontal="center" vertical="center"/>
    </xf>
    <xf numFmtId="191" fontId="89" fillId="41" borderId="46" xfId="0" applyNumberFormat="1" applyFont="1" applyFill="1" applyBorder="1" applyAlignment="1">
      <alignment horizontal="center" vertical="center"/>
    </xf>
    <xf numFmtId="0" fontId="89" fillId="41" borderId="32" xfId="0" applyFont="1" applyFill="1" applyBorder="1" applyAlignment="1">
      <alignment horizontal="center" vertical="center"/>
    </xf>
    <xf numFmtId="0" fontId="89" fillId="41" borderId="46" xfId="0" applyFont="1" applyFill="1" applyBorder="1" applyAlignment="1">
      <alignment horizontal="center" vertical="center"/>
    </xf>
    <xf numFmtId="0" fontId="7" fillId="41" borderId="99" xfId="0" applyFont="1" applyFill="1" applyBorder="1" applyAlignment="1">
      <alignment horizontal="center" vertical="center"/>
    </xf>
    <xf numFmtId="0" fontId="7" fillId="41" borderId="93" xfId="0" applyFont="1" applyFill="1" applyBorder="1" applyAlignment="1">
      <alignment horizontal="center" vertical="center"/>
    </xf>
    <xf numFmtId="0" fontId="7" fillId="41" borderId="100" xfId="0" applyFont="1" applyFill="1" applyBorder="1" applyAlignment="1">
      <alignment horizontal="center" vertical="center"/>
    </xf>
    <xf numFmtId="0" fontId="7" fillId="41" borderId="86" xfId="0" applyFont="1" applyFill="1" applyBorder="1" applyAlignment="1">
      <alignment horizontal="center" vertical="center"/>
    </xf>
    <xf numFmtId="0" fontId="88" fillId="41" borderId="88" xfId="0" applyFont="1" applyFill="1" applyBorder="1" applyAlignment="1">
      <alignment horizontal="center" vertical="center"/>
    </xf>
    <xf numFmtId="0" fontId="88" fillId="41" borderId="61" xfId="0" applyFont="1" applyFill="1" applyBorder="1" applyAlignment="1">
      <alignment horizontal="center" vertical="center"/>
    </xf>
    <xf numFmtId="0" fontId="88" fillId="41" borderId="113" xfId="0" applyFont="1" applyFill="1" applyBorder="1" applyAlignment="1">
      <alignment horizontal="center" vertical="center"/>
    </xf>
    <xf numFmtId="0" fontId="88" fillId="41" borderId="77" xfId="0" applyFont="1" applyFill="1" applyBorder="1" applyAlignment="1">
      <alignment horizontal="center" vertical="center"/>
    </xf>
    <xf numFmtId="0" fontId="88" fillId="41" borderId="107" xfId="0" applyFont="1" applyFill="1" applyBorder="1" applyAlignment="1">
      <alignment horizontal="center" vertical="center"/>
    </xf>
    <xf numFmtId="0" fontId="88" fillId="41" borderId="79" xfId="0" applyFont="1" applyFill="1" applyBorder="1" applyAlignment="1">
      <alignment horizontal="center" vertical="center"/>
    </xf>
    <xf numFmtId="4" fontId="89" fillId="41" borderId="32" xfId="0" applyNumberFormat="1" applyFont="1" applyFill="1" applyBorder="1" applyAlignment="1">
      <alignment horizontal="center" vertical="center"/>
    </xf>
    <xf numFmtId="4" fontId="89" fillId="41" borderId="46" xfId="0" applyNumberFormat="1" applyFont="1" applyFill="1" applyBorder="1" applyAlignment="1">
      <alignment horizontal="center" vertical="center"/>
    </xf>
    <xf numFmtId="0" fontId="88" fillId="41" borderId="89" xfId="0" applyFont="1" applyFill="1" applyBorder="1" applyAlignment="1">
      <alignment horizontal="center" vertical="center"/>
    </xf>
    <xf numFmtId="190" fontId="89" fillId="41" borderId="32" xfId="0" applyNumberFormat="1" applyFont="1" applyFill="1" applyBorder="1" applyAlignment="1">
      <alignment horizontal="center" vertical="center"/>
    </xf>
    <xf numFmtId="190" fontId="89" fillId="41" borderId="45" xfId="0" applyNumberFormat="1" applyFont="1" applyFill="1" applyBorder="1" applyAlignment="1">
      <alignment horizontal="center" vertical="center"/>
    </xf>
    <xf numFmtId="190" fontId="89" fillId="41" borderId="46" xfId="0" applyNumberFormat="1" applyFont="1" applyFill="1" applyBorder="1" applyAlignment="1">
      <alignment horizontal="center" vertical="center"/>
    </xf>
    <xf numFmtId="0" fontId="86" fillId="42" borderId="88" xfId="0" applyFont="1" applyFill="1" applyBorder="1" applyAlignment="1">
      <alignment horizontal="left" vertical="center" wrapText="1"/>
    </xf>
    <xf numFmtId="0" fontId="86" fillId="42" borderId="89" xfId="0" applyFont="1" applyFill="1" applyBorder="1" applyAlignment="1">
      <alignment horizontal="left" vertical="center" wrapText="1"/>
    </xf>
    <xf numFmtId="0" fontId="86" fillId="42" borderId="90" xfId="0" applyFont="1" applyFill="1" applyBorder="1" applyAlignment="1">
      <alignment horizontal="left" vertical="center" wrapText="1"/>
    </xf>
    <xf numFmtId="0" fontId="88" fillId="41" borderId="97" xfId="0" applyFont="1" applyFill="1" applyBorder="1" applyAlignment="1">
      <alignment horizontal="center" vertical="center"/>
    </xf>
    <xf numFmtId="0" fontId="88" fillId="41" borderId="115" xfId="0" applyFont="1" applyFill="1" applyBorder="1" applyAlignment="1">
      <alignment horizontal="center" vertical="center"/>
    </xf>
    <xf numFmtId="0" fontId="88" fillId="41" borderId="122" xfId="0" applyFont="1" applyFill="1" applyBorder="1" applyAlignment="1">
      <alignment horizontal="center" vertical="center"/>
    </xf>
    <xf numFmtId="0" fontId="86" fillId="42" borderId="114" xfId="0" applyFont="1" applyFill="1" applyBorder="1" applyAlignment="1">
      <alignment horizontal="left" vertical="center"/>
    </xf>
    <xf numFmtId="0" fontId="86" fillId="42" borderId="115" xfId="0" applyFont="1" applyFill="1" applyBorder="1" applyAlignment="1">
      <alignment horizontal="left" vertical="center"/>
    </xf>
    <xf numFmtId="0" fontId="86" fillId="42" borderId="98" xfId="0" applyFont="1" applyFill="1" applyBorder="1" applyAlignment="1">
      <alignment horizontal="left" vertical="center"/>
    </xf>
    <xf numFmtId="0" fontId="7" fillId="41" borderId="100" xfId="0" applyFont="1" applyFill="1" applyBorder="1" applyAlignment="1">
      <alignment horizontal="center" vertical="center" wrapText="1"/>
    </xf>
    <xf numFmtId="0" fontId="7" fillId="41" borderId="86" xfId="0" applyFont="1" applyFill="1" applyBorder="1" applyAlignment="1">
      <alignment horizontal="center" vertical="center" wrapText="1"/>
    </xf>
    <xf numFmtId="4" fontId="89" fillId="41" borderId="45" xfId="0" applyNumberFormat="1" applyFont="1" applyFill="1" applyBorder="1" applyAlignment="1">
      <alignment horizontal="center" vertical="center"/>
    </xf>
    <xf numFmtId="0" fontId="7" fillId="41" borderId="87" xfId="0" applyFont="1" applyFill="1" applyBorder="1" applyAlignment="1">
      <alignment horizontal="center" vertical="center"/>
    </xf>
    <xf numFmtId="0" fontId="7" fillId="41" borderId="77" xfId="0" applyFont="1" applyFill="1" applyBorder="1" applyAlignment="1">
      <alignment horizontal="center" vertical="center"/>
    </xf>
    <xf numFmtId="0" fontId="7" fillId="41" borderId="78" xfId="0" applyFont="1" applyFill="1" applyBorder="1" applyAlignment="1">
      <alignment horizontal="center" vertical="center"/>
    </xf>
    <xf numFmtId="0" fontId="7" fillId="41" borderId="79" xfId="0" applyFont="1" applyFill="1" applyBorder="1" applyAlignment="1">
      <alignment horizontal="center" vertical="center"/>
    </xf>
    <xf numFmtId="0" fontId="88" fillId="41" borderId="131" xfId="0" applyFont="1" applyFill="1" applyBorder="1" applyAlignment="1">
      <alignment horizontal="right" vertical="center"/>
    </xf>
    <xf numFmtId="0" fontId="88" fillId="41" borderId="45" xfId="0" applyFont="1" applyFill="1" applyBorder="1" applyAlignment="1">
      <alignment horizontal="right" vertical="center"/>
    </xf>
    <xf numFmtId="0" fontId="88" fillId="41" borderId="46" xfId="0" applyFont="1" applyFill="1" applyBorder="1" applyAlignment="1">
      <alignment horizontal="right" vertical="center"/>
    </xf>
    <xf numFmtId="0" fontId="86" fillId="0" borderId="44" xfId="0" applyFont="1" applyFill="1" applyBorder="1" applyAlignment="1">
      <alignment horizontal="left" vertical="center" wrapText="1"/>
    </xf>
    <xf numFmtId="0" fontId="86" fillId="0" borderId="17" xfId="0" applyFont="1" applyFill="1" applyBorder="1" applyAlignment="1">
      <alignment horizontal="left" vertical="center" wrapText="1"/>
    </xf>
    <xf numFmtId="0" fontId="86" fillId="34" borderId="32" xfId="0" applyFont="1" applyFill="1" applyBorder="1" applyAlignment="1">
      <alignment horizontal="center" vertical="center"/>
    </xf>
    <xf numFmtId="0" fontId="86" fillId="34" borderId="45" xfId="0" applyFont="1" applyFill="1" applyBorder="1" applyAlignment="1">
      <alignment horizontal="center" vertical="center"/>
    </xf>
    <xf numFmtId="0" fontId="86" fillId="34" borderId="103" xfId="0" applyFont="1" applyFill="1" applyBorder="1" applyAlignment="1">
      <alignment horizontal="center" vertical="center"/>
    </xf>
    <xf numFmtId="190" fontId="87" fillId="34" borderId="42" xfId="0" applyNumberFormat="1" applyFont="1" applyFill="1" applyBorder="1" applyAlignment="1">
      <alignment horizontal="center" vertical="center"/>
    </xf>
    <xf numFmtId="4" fontId="87" fillId="34" borderId="42" xfId="0" applyNumberFormat="1" applyFont="1" applyFill="1" applyBorder="1" applyAlignment="1">
      <alignment horizontal="center" vertical="center"/>
    </xf>
    <xf numFmtId="191" fontId="87" fillId="34" borderId="42" xfId="0" applyNumberFormat="1" applyFont="1" applyFill="1" applyBorder="1" applyAlignment="1">
      <alignment horizontal="center" vertical="center"/>
    </xf>
    <xf numFmtId="192" fontId="87" fillId="34" borderId="42" xfId="0" applyNumberFormat="1" applyFont="1" applyFill="1" applyBorder="1" applyAlignment="1">
      <alignment horizontal="center" vertical="center"/>
    </xf>
    <xf numFmtId="0" fontId="87" fillId="34" borderId="76" xfId="0" applyFont="1" applyFill="1" applyBorder="1" applyAlignment="1">
      <alignment horizontal="left" vertical="center"/>
    </xf>
    <xf numFmtId="0" fontId="87" fillId="34" borderId="42" xfId="0" applyFont="1" applyFill="1" applyBorder="1" applyAlignment="1">
      <alignment horizontal="left" vertical="center"/>
    </xf>
    <xf numFmtId="10" fontId="87" fillId="34" borderId="42" xfId="0" applyNumberFormat="1" applyFont="1" applyFill="1" applyBorder="1" applyAlignment="1">
      <alignment horizontal="center" vertical="center"/>
    </xf>
    <xf numFmtId="0" fontId="86" fillId="34" borderId="104" xfId="0" applyFont="1" applyFill="1" applyBorder="1" applyAlignment="1">
      <alignment horizontal="left" vertical="center"/>
    </xf>
    <xf numFmtId="0" fontId="86" fillId="34" borderId="94" xfId="0" applyFont="1" applyFill="1" applyBorder="1" applyAlignment="1">
      <alignment horizontal="left" vertical="center"/>
    </xf>
    <xf numFmtId="0" fontId="86" fillId="34" borderId="76" xfId="0" applyFont="1" applyFill="1" applyBorder="1" applyAlignment="1">
      <alignment horizontal="left" vertical="center"/>
    </xf>
    <xf numFmtId="0" fontId="86" fillId="34" borderId="42" xfId="0" applyFont="1" applyFill="1" applyBorder="1" applyAlignment="1">
      <alignment horizontal="left" vertical="center"/>
    </xf>
    <xf numFmtId="0" fontId="87" fillId="34" borderId="76" xfId="0" applyFont="1" applyFill="1" applyBorder="1" applyAlignment="1">
      <alignment horizontal="center" vertical="center"/>
    </xf>
    <xf numFmtId="0" fontId="87" fillId="34" borderId="42" xfId="0" applyFont="1" applyFill="1" applyBorder="1" applyAlignment="1">
      <alignment horizontal="center" vertical="center"/>
    </xf>
    <xf numFmtId="0" fontId="87" fillId="34" borderId="16" xfId="0" applyFont="1" applyFill="1" applyBorder="1" applyAlignment="1">
      <alignment horizontal="center" vertical="center"/>
    </xf>
    <xf numFmtId="0" fontId="88" fillId="38" borderId="132" xfId="0" applyFont="1" applyFill="1" applyBorder="1" applyAlignment="1">
      <alignment horizontal="center" vertical="center"/>
    </xf>
    <xf numFmtId="0" fontId="88" fillId="38" borderId="74" xfId="0" applyFont="1" applyFill="1" applyBorder="1" applyAlignment="1">
      <alignment horizontal="center" vertical="center"/>
    </xf>
    <xf numFmtId="190" fontId="89" fillId="0" borderId="32" xfId="0" applyNumberFormat="1" applyFont="1" applyBorder="1" applyAlignment="1">
      <alignment horizontal="center" vertical="center"/>
    </xf>
    <xf numFmtId="190" fontId="89" fillId="0" borderId="46" xfId="0" applyNumberFormat="1" applyFont="1" applyBorder="1" applyAlignment="1">
      <alignment horizontal="center" vertical="center"/>
    </xf>
    <xf numFmtId="192" fontId="89" fillId="0" borderId="32" xfId="0" applyNumberFormat="1" applyFont="1" applyBorder="1" applyAlignment="1">
      <alignment horizontal="center" vertical="center"/>
    </xf>
    <xf numFmtId="192" fontId="89" fillId="0" borderId="46" xfId="0" applyNumberFormat="1" applyFont="1" applyBorder="1" applyAlignment="1">
      <alignment horizontal="center" vertical="center"/>
    </xf>
    <xf numFmtId="0" fontId="88" fillId="38" borderId="133" xfId="0" applyFont="1" applyFill="1" applyBorder="1" applyAlignment="1">
      <alignment horizontal="left" vertical="center"/>
    </xf>
    <xf numFmtId="0" fontId="88" fillId="38" borderId="134" xfId="0" applyFont="1" applyFill="1" applyBorder="1" applyAlignment="1">
      <alignment horizontal="left" vertical="center"/>
    </xf>
    <xf numFmtId="0" fontId="88" fillId="38" borderId="129" xfId="0" applyFont="1" applyFill="1" applyBorder="1" applyAlignment="1">
      <alignment horizontal="left" vertical="center"/>
    </xf>
    <xf numFmtId="0" fontId="88" fillId="38" borderId="81" xfId="0" applyFont="1" applyFill="1" applyBorder="1" applyAlignment="1">
      <alignment horizontal="left" vertical="center"/>
    </xf>
    <xf numFmtId="0" fontId="88" fillId="38" borderId="82" xfId="0" applyFont="1" applyFill="1" applyBorder="1" applyAlignment="1">
      <alignment horizontal="left" vertical="center"/>
    </xf>
    <xf numFmtId="0" fontId="88" fillId="38" borderId="62" xfId="0" applyFont="1" applyFill="1" applyBorder="1" applyAlignment="1">
      <alignment horizontal="left" vertical="center"/>
    </xf>
    <xf numFmtId="0" fontId="7" fillId="38" borderId="99" xfId="0" applyFont="1" applyFill="1" applyBorder="1" applyAlignment="1">
      <alignment horizontal="center" vertical="center"/>
    </xf>
    <xf numFmtId="0" fontId="7" fillId="38" borderId="93" xfId="0" applyFont="1" applyFill="1" applyBorder="1" applyAlignment="1">
      <alignment horizontal="center" vertical="center"/>
    </xf>
    <xf numFmtId="49" fontId="85" fillId="0" borderId="0" xfId="65" applyNumberFormat="1" applyFont="1" applyFill="1" applyBorder="1" applyAlignment="1">
      <alignment horizontal="center" vertical="center"/>
      <protection/>
    </xf>
    <xf numFmtId="0" fontId="10" fillId="0" borderId="0" xfId="65" applyFont="1" applyBorder="1" applyAlignment="1">
      <alignment horizontal="center" vertical="center"/>
      <protection/>
    </xf>
    <xf numFmtId="49" fontId="18" fillId="34" borderId="0" xfId="65" applyNumberFormat="1" applyFont="1" applyFill="1" applyBorder="1" applyAlignment="1">
      <alignment horizontal="center" vertical="top"/>
      <protection/>
    </xf>
    <xf numFmtId="0" fontId="90" fillId="0" borderId="76" xfId="56" applyFont="1" applyFill="1" applyBorder="1" applyAlignment="1">
      <alignment horizontal="right" vertical="center" wrapText="1"/>
      <protection/>
    </xf>
    <xf numFmtId="0" fontId="7" fillId="0" borderId="42" xfId="56" applyFont="1" applyFill="1" applyBorder="1" applyAlignment="1">
      <alignment horizontal="right" vertical="center" wrapText="1"/>
      <protection/>
    </xf>
    <xf numFmtId="0" fontId="7" fillId="0" borderId="16" xfId="56" applyFont="1" applyFill="1" applyBorder="1" applyAlignment="1">
      <alignment horizontal="right" vertical="center" wrapText="1"/>
      <protection/>
    </xf>
    <xf numFmtId="0" fontId="7" fillId="0" borderId="76" xfId="56" applyFont="1" applyFill="1" applyBorder="1" applyAlignment="1">
      <alignment horizontal="right" vertical="center" wrapText="1"/>
      <protection/>
    </xf>
    <xf numFmtId="0" fontId="7" fillId="0" borderId="104" xfId="56" applyFont="1" applyFill="1" applyBorder="1" applyAlignment="1">
      <alignment horizontal="right" vertical="center" wrapText="1"/>
      <protection/>
    </xf>
    <xf numFmtId="0" fontId="7" fillId="0" borderId="94" xfId="56" applyFont="1" applyFill="1" applyBorder="1" applyAlignment="1">
      <alignment horizontal="right" vertical="center" wrapText="1"/>
      <protection/>
    </xf>
    <xf numFmtId="0" fontId="7" fillId="0" borderId="24" xfId="56" applyFont="1" applyFill="1" applyBorder="1" applyAlignment="1">
      <alignment horizontal="right" vertical="center" wrapText="1"/>
      <protection/>
    </xf>
    <xf numFmtId="211" fontId="90" fillId="0" borderId="15" xfId="56" applyNumberFormat="1" applyFont="1" applyFill="1" applyBorder="1" applyAlignment="1">
      <alignment horizontal="center" vertical="center" wrapText="1"/>
      <protection/>
    </xf>
    <xf numFmtId="211" fontId="90" fillId="0" borderId="76" xfId="56" applyNumberFormat="1" applyFont="1" applyFill="1" applyBorder="1" applyAlignment="1">
      <alignment horizontal="center" vertical="center" wrapText="1"/>
      <protection/>
    </xf>
    <xf numFmtId="211" fontId="90" fillId="0" borderId="104" xfId="56" applyNumberFormat="1" applyFont="1" applyFill="1" applyBorder="1" applyAlignment="1">
      <alignment horizontal="center" vertical="center" wrapText="1"/>
      <protection/>
    </xf>
    <xf numFmtId="4" fontId="90" fillId="0" borderId="44" xfId="56" applyNumberFormat="1" applyFont="1" applyFill="1" applyBorder="1" applyAlignment="1">
      <alignment horizontal="left" vertical="center" wrapText="1"/>
      <protection/>
    </xf>
    <xf numFmtId="0" fontId="90" fillId="0" borderId="42" xfId="56" applyFont="1" applyFill="1" applyBorder="1" applyAlignment="1">
      <alignment horizontal="left" vertical="center" wrapText="1"/>
      <protection/>
    </xf>
    <xf numFmtId="0" fontId="90" fillId="0" borderId="94" xfId="56" applyFont="1" applyFill="1" applyBorder="1" applyAlignment="1">
      <alignment horizontal="left" vertical="center" wrapText="1"/>
      <protection/>
    </xf>
    <xf numFmtId="211" fontId="90" fillId="0" borderId="93" xfId="56" applyNumberFormat="1" applyFont="1" applyFill="1" applyBorder="1" applyAlignment="1">
      <alignment horizontal="center" vertical="center" wrapText="1"/>
      <protection/>
    </xf>
    <xf numFmtId="4" fontId="7" fillId="0" borderId="86" xfId="56" applyNumberFormat="1" applyFont="1" applyFill="1" applyBorder="1" applyAlignment="1">
      <alignment horizontal="left" vertical="center" wrapText="1"/>
      <protection/>
    </xf>
    <xf numFmtId="0" fontId="7" fillId="0" borderId="42" xfId="56" applyFont="1" applyFill="1" applyBorder="1" applyAlignment="1">
      <alignment horizontal="left" vertical="center" wrapText="1"/>
      <protection/>
    </xf>
    <xf numFmtId="0" fontId="7" fillId="0" borderId="94" xfId="56" applyFont="1" applyFill="1" applyBorder="1" applyAlignment="1">
      <alignment horizontal="left" vertical="center" wrapText="1"/>
      <protection/>
    </xf>
    <xf numFmtId="4" fontId="7" fillId="0" borderId="44" xfId="56" applyNumberFormat="1" applyFont="1" applyFill="1" applyBorder="1" applyAlignment="1">
      <alignment horizontal="left" vertical="center" wrapText="1"/>
      <protection/>
    </xf>
    <xf numFmtId="0" fontId="101" fillId="0" borderId="116" xfId="56" applyFont="1" applyFill="1" applyBorder="1" applyAlignment="1">
      <alignment horizontal="center" vertical="center" wrapText="1"/>
      <protection/>
    </xf>
    <xf numFmtId="0" fontId="101" fillId="0" borderId="117" xfId="56" applyFont="1" applyFill="1" applyBorder="1" applyAlignment="1">
      <alignment horizontal="center" vertical="center" wrapText="1"/>
      <protection/>
    </xf>
    <xf numFmtId="0" fontId="101" fillId="0" borderId="135" xfId="56" applyFont="1" applyFill="1" applyBorder="1" applyAlignment="1">
      <alignment horizontal="center" vertical="center" wrapText="1"/>
      <protection/>
    </xf>
    <xf numFmtId="0" fontId="102" fillId="0" borderId="116" xfId="56" applyFont="1" applyFill="1" applyBorder="1" applyAlignment="1">
      <alignment horizontal="center" vertical="center" wrapText="1"/>
      <protection/>
    </xf>
    <xf numFmtId="0" fontId="102" fillId="0" borderId="117" xfId="56" applyFont="1" applyFill="1" applyBorder="1" applyAlignment="1">
      <alignment horizontal="center" vertical="center" wrapText="1"/>
      <protection/>
    </xf>
    <xf numFmtId="0" fontId="102" fillId="0" borderId="135" xfId="56" applyFont="1" applyFill="1" applyBorder="1" applyAlignment="1">
      <alignment horizontal="center" vertical="center" wrapText="1"/>
      <protection/>
    </xf>
    <xf numFmtId="0" fontId="103" fillId="0" borderId="121" xfId="56" applyFont="1" applyFill="1" applyBorder="1" applyAlignment="1">
      <alignment horizontal="left" vertical="center" wrapText="1"/>
      <protection/>
    </xf>
    <xf numFmtId="0" fontId="103" fillId="0" borderId="89" xfId="56" applyFont="1" applyFill="1" applyBorder="1" applyAlignment="1">
      <alignment horizontal="left" vertical="center" wrapText="1"/>
      <protection/>
    </xf>
    <xf numFmtId="0" fontId="103" fillId="0" borderId="90" xfId="56" applyFont="1" applyFill="1" applyBorder="1" applyAlignment="1">
      <alignment horizontal="left" vertical="center" wrapText="1"/>
      <protection/>
    </xf>
    <xf numFmtId="0" fontId="38" fillId="0" borderId="114" xfId="56" applyFont="1" applyFill="1" applyBorder="1" applyAlignment="1">
      <alignment horizontal="left" vertical="center" wrapText="1"/>
      <protection/>
    </xf>
    <xf numFmtId="0" fontId="103" fillId="0" borderId="115" xfId="56" applyFont="1" applyFill="1" applyBorder="1" applyAlignment="1">
      <alignment horizontal="left" vertical="center" wrapText="1"/>
      <protection/>
    </xf>
    <xf numFmtId="0" fontId="103" fillId="0" borderId="122" xfId="56" applyFont="1" applyFill="1" applyBorder="1" applyAlignment="1">
      <alignment horizontal="left" vertical="center" wrapText="1"/>
      <protection/>
    </xf>
    <xf numFmtId="0" fontId="29" fillId="0" borderId="100" xfId="56" applyFont="1" applyFill="1" applyBorder="1" applyAlignment="1">
      <alignment horizontal="center" vertical="center" wrapText="1"/>
      <protection/>
    </xf>
    <xf numFmtId="0" fontId="29" fillId="0" borderId="132" xfId="56" applyFont="1" applyFill="1" applyBorder="1" applyAlignment="1">
      <alignment horizontal="center" vertical="center" wrapText="1"/>
      <protection/>
    </xf>
    <xf numFmtId="0" fontId="20" fillId="39" borderId="47" xfId="78" applyFont="1" applyFill="1" applyBorder="1" applyAlignment="1">
      <alignment horizontal="center"/>
      <protection/>
    </xf>
    <xf numFmtId="0" fontId="20" fillId="39" borderId="0" xfId="78" applyFont="1" applyFill="1" applyBorder="1" applyAlignment="1">
      <alignment horizontal="center"/>
      <protection/>
    </xf>
    <xf numFmtId="0" fontId="20" fillId="39" borderId="48" xfId="78" applyFont="1" applyFill="1" applyBorder="1" applyAlignment="1">
      <alignment horizontal="center"/>
      <protection/>
    </xf>
    <xf numFmtId="0" fontId="22" fillId="39" borderId="32" xfId="78" applyFont="1" applyFill="1" applyBorder="1" applyAlignment="1">
      <alignment horizontal="left"/>
      <protection/>
    </xf>
    <xf numFmtId="0" fontId="22" fillId="39" borderId="46" xfId="78" applyFont="1" applyFill="1" applyBorder="1" applyAlignment="1">
      <alignment horizontal="left"/>
      <protection/>
    </xf>
    <xf numFmtId="0" fontId="24" fillId="39" borderId="32" xfId="78" applyFont="1" applyFill="1" applyBorder="1" applyAlignment="1">
      <alignment horizontal="left"/>
      <protection/>
    </xf>
    <xf numFmtId="0" fontId="24" fillId="39" borderId="46" xfId="78" applyFont="1" applyFill="1" applyBorder="1" applyAlignment="1">
      <alignment horizontal="left"/>
      <protection/>
    </xf>
    <xf numFmtId="0" fontId="22" fillId="39" borderId="32" xfId="78" applyFont="1" applyFill="1" applyBorder="1" applyAlignment="1">
      <alignment horizontal="right"/>
      <protection/>
    </xf>
    <xf numFmtId="0" fontId="22" fillId="39" borderId="46" xfId="78" applyFont="1" applyFill="1" applyBorder="1" applyAlignment="1">
      <alignment horizontal="right"/>
      <protection/>
    </xf>
    <xf numFmtId="0" fontId="65" fillId="0" borderId="47" xfId="65" applyBorder="1" applyAlignment="1">
      <alignment horizontal="center" wrapText="1"/>
      <protection/>
    </xf>
    <xf numFmtId="0" fontId="65" fillId="0" borderId="0" xfId="65" applyBorder="1" applyAlignment="1">
      <alignment horizontal="center"/>
      <protection/>
    </xf>
    <xf numFmtId="0" fontId="65" fillId="0" borderId="48" xfId="65" applyBorder="1" applyAlignment="1">
      <alignment horizontal="center"/>
      <protection/>
    </xf>
    <xf numFmtId="0" fontId="104" fillId="34" borderId="136" xfId="65" applyFont="1" applyFill="1" applyBorder="1" applyAlignment="1">
      <alignment horizontal="center" vertical="center"/>
      <protection/>
    </xf>
    <xf numFmtId="0" fontId="104" fillId="34" borderId="137" xfId="65" applyFont="1" applyFill="1" applyBorder="1" applyAlignment="1">
      <alignment horizontal="center" vertical="center"/>
      <protection/>
    </xf>
    <xf numFmtId="0" fontId="104" fillId="34" borderId="138" xfId="65" applyFont="1" applyFill="1" applyBorder="1" applyAlignment="1">
      <alignment horizontal="center" vertical="center"/>
      <protection/>
    </xf>
    <xf numFmtId="0" fontId="22" fillId="39" borderId="32" xfId="78" applyFont="1" applyFill="1" applyBorder="1" applyAlignment="1">
      <alignment horizontal="center"/>
      <protection/>
    </xf>
    <xf numFmtId="0" fontId="22" fillId="39" borderId="46" xfId="78" applyFont="1" applyFill="1" applyBorder="1" applyAlignment="1">
      <alignment horizontal="center"/>
      <protection/>
    </xf>
    <xf numFmtId="49" fontId="25" fillId="39" borderId="0" xfId="77" applyNumberFormat="1" applyFont="1" applyFill="1" applyBorder="1" applyAlignment="1">
      <alignment horizontal="center" vertical="top" wrapText="1"/>
      <protection/>
    </xf>
    <xf numFmtId="0" fontId="104" fillId="34" borderId="47" xfId="65" applyFont="1" applyFill="1" applyBorder="1" applyAlignment="1">
      <alignment horizontal="center" vertical="center"/>
      <protection/>
    </xf>
    <xf numFmtId="0" fontId="104" fillId="34" borderId="0" xfId="65" applyFont="1" applyFill="1" applyBorder="1" applyAlignment="1">
      <alignment horizontal="center" vertical="center"/>
      <protection/>
    </xf>
    <xf numFmtId="0" fontId="104" fillId="34" borderId="48" xfId="65" applyFont="1" applyFill="1" applyBorder="1" applyAlignment="1">
      <alignment horizontal="center" vertical="center"/>
      <protection/>
    </xf>
    <xf numFmtId="1" fontId="28" fillId="0" borderId="32" xfId="65" applyNumberFormat="1" applyFont="1" applyFill="1" applyBorder="1" applyAlignment="1">
      <alignment horizontal="center" vertical="center" wrapText="1"/>
      <protection/>
    </xf>
    <xf numFmtId="1" fontId="28" fillId="0" borderId="45" xfId="65" applyNumberFormat="1" applyFont="1" applyFill="1" applyBorder="1" applyAlignment="1">
      <alignment horizontal="center" vertical="center" wrapText="1"/>
      <protection/>
    </xf>
    <xf numFmtId="1" fontId="28" fillId="0" borderId="46" xfId="65" applyNumberFormat="1" applyFont="1" applyFill="1" applyBorder="1" applyAlignment="1">
      <alignment horizontal="center" vertical="center" wrapText="1"/>
      <protection/>
    </xf>
    <xf numFmtId="0" fontId="92" fillId="0" borderId="53" xfId="65" applyFont="1" applyBorder="1" applyAlignment="1">
      <alignment horizontal="center" vertical="center" wrapText="1"/>
      <protection/>
    </xf>
    <xf numFmtId="0" fontId="92" fillId="0" borderId="51" xfId="65" applyFont="1" applyBorder="1" applyAlignment="1">
      <alignment horizontal="center" vertical="center" wrapText="1"/>
      <protection/>
    </xf>
    <xf numFmtId="0" fontId="92" fillId="0" borderId="53" xfId="65" applyFont="1" applyBorder="1" applyAlignment="1">
      <alignment horizontal="center" vertical="top"/>
      <protection/>
    </xf>
    <xf numFmtId="0" fontId="92" fillId="0" borderId="51" xfId="65" applyFont="1" applyBorder="1" applyAlignment="1">
      <alignment horizontal="center" vertical="top"/>
      <protection/>
    </xf>
    <xf numFmtId="0" fontId="105" fillId="0" borderId="42" xfId="65" applyFont="1" applyBorder="1" applyAlignment="1">
      <alignment horizontal="center" vertical="center" wrapText="1"/>
      <protection/>
    </xf>
    <xf numFmtId="0" fontId="92" fillId="0" borderId="55" xfId="65" applyFont="1" applyBorder="1" applyAlignment="1">
      <alignment horizontal="center" vertical="center"/>
      <protection/>
    </xf>
    <xf numFmtId="0" fontId="92" fillId="0" borderId="139" xfId="65" applyFont="1" applyBorder="1" applyAlignment="1">
      <alignment horizontal="center" vertical="center"/>
      <protection/>
    </xf>
    <xf numFmtId="0" fontId="92" fillId="0" borderId="140" xfId="65" applyFont="1" applyBorder="1" applyAlignment="1">
      <alignment horizontal="center" vertical="center"/>
      <protection/>
    </xf>
    <xf numFmtId="0" fontId="92" fillId="0" borderId="53" xfId="65" applyFont="1" applyBorder="1" applyAlignment="1">
      <alignment horizontal="right" vertical="top"/>
      <protection/>
    </xf>
    <xf numFmtId="0" fontId="92" fillId="0" borderId="51" xfId="65" applyFont="1" applyBorder="1" applyAlignment="1">
      <alignment horizontal="right" vertical="top"/>
      <protection/>
    </xf>
    <xf numFmtId="0" fontId="92" fillId="0" borderId="141" xfId="65" applyFont="1" applyBorder="1" applyAlignment="1">
      <alignment horizontal="right" vertical="top"/>
      <protection/>
    </xf>
    <xf numFmtId="0" fontId="92" fillId="0" borderId="142" xfId="65" applyFont="1" applyBorder="1" applyAlignment="1">
      <alignment horizontal="right" vertical="top"/>
      <protection/>
    </xf>
  </cellXfs>
  <cellStyles count="9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Moeda 6" xfId="52"/>
    <cellStyle name="Moeda 8" xfId="53"/>
    <cellStyle name="Neutra" xfId="54"/>
    <cellStyle name="Normal 10" xfId="55"/>
    <cellStyle name="Normal 11" xfId="56"/>
    <cellStyle name="Normal 12" xfId="57"/>
    <cellStyle name="Normal 13" xfId="58"/>
    <cellStyle name="Normal 2" xfId="59"/>
    <cellStyle name="Normal 2 10" xfId="60"/>
    <cellStyle name="Normal 2 2" xfId="61"/>
    <cellStyle name="Normal 22" xfId="62"/>
    <cellStyle name="Normal 26" xfId="63"/>
    <cellStyle name="Normal 29" xfId="64"/>
    <cellStyle name="Normal 3" xfId="65"/>
    <cellStyle name="Normal 3 13" xfId="66"/>
    <cellStyle name="Normal 3 2" xfId="67"/>
    <cellStyle name="Normal 3 2 10" xfId="68"/>
    <cellStyle name="Normal 3 2 2" xfId="69"/>
    <cellStyle name="Normal 34" xfId="70"/>
    <cellStyle name="Normal 4" xfId="71"/>
    <cellStyle name="Normal 4 2" xfId="72"/>
    <cellStyle name="Normal 5" xfId="73"/>
    <cellStyle name="Normal 6" xfId="74"/>
    <cellStyle name="Normal 6 2" xfId="75"/>
    <cellStyle name="Normal 8" xfId="76"/>
    <cellStyle name="Normal_Composição BDI" xfId="77"/>
    <cellStyle name="Normal_Composição do BDI - final" xfId="78"/>
    <cellStyle name="Nota" xfId="79"/>
    <cellStyle name="Percent" xfId="80"/>
    <cellStyle name="Porcentagem 10" xfId="81"/>
    <cellStyle name="Porcentagem 13 4" xfId="82"/>
    <cellStyle name="Porcentagem 2" xfId="83"/>
    <cellStyle name="Porcentagem 2 2" xfId="84"/>
    <cellStyle name="Porcentagem 2 2 4" xfId="85"/>
    <cellStyle name="Porcentagem 3 10 2 2" xfId="86"/>
    <cellStyle name="Saída" xfId="87"/>
    <cellStyle name="Comma [0]" xfId="88"/>
    <cellStyle name="Separador de milhares 2" xfId="89"/>
    <cellStyle name="Texto de Aviso" xfId="90"/>
    <cellStyle name="Texto Explicativo" xfId="91"/>
    <cellStyle name="Título" xfId="92"/>
    <cellStyle name="Título 1" xfId="93"/>
    <cellStyle name="Título 1 1" xfId="94"/>
    <cellStyle name="Título 2" xfId="95"/>
    <cellStyle name="Título 3" xfId="96"/>
    <cellStyle name="Título 4" xfId="97"/>
    <cellStyle name="Total" xfId="98"/>
    <cellStyle name="Comma" xfId="99"/>
    <cellStyle name="Vírgula 2" xfId="100"/>
    <cellStyle name="Vírgula 2 2" xfId="101"/>
    <cellStyle name="Vírgula 2 2 2" xfId="102"/>
    <cellStyle name="Vírgula 2 2 3" xfId="103"/>
    <cellStyle name="Vírgula 2 2 4" xfId="104"/>
    <cellStyle name="Vírgula 2 2 5" xfId="105"/>
    <cellStyle name="Vírgula 2 3" xfId="106"/>
    <cellStyle name="Vírgula 3" xfId="107"/>
    <cellStyle name="Vírgula 3 2" xfId="108"/>
    <cellStyle name="Vírgula 3 2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190500</xdr:rowOff>
    </xdr:from>
    <xdr:to>
      <xdr:col>1</xdr:col>
      <xdr:colOff>971550</xdr:colOff>
      <xdr:row>2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0500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104775</xdr:rowOff>
    </xdr:from>
    <xdr:to>
      <xdr:col>2</xdr:col>
      <xdr:colOff>704850</xdr:colOff>
      <xdr:row>5</xdr:row>
      <xdr:rowOff>85725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0477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0</xdr:row>
      <xdr:rowOff>209550</xdr:rowOff>
    </xdr:from>
    <xdr:to>
      <xdr:col>1</xdr:col>
      <xdr:colOff>2333625</xdr:colOff>
      <xdr:row>0</xdr:row>
      <xdr:rowOff>1152525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9550"/>
          <a:ext cx="8572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276225</xdr:rowOff>
    </xdr:from>
    <xdr:to>
      <xdr:col>2</xdr:col>
      <xdr:colOff>19050</xdr:colOff>
      <xdr:row>0</xdr:row>
      <xdr:rowOff>1000125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622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1</xdr:col>
      <xdr:colOff>781050</xdr:colOff>
      <xdr:row>0</xdr:row>
      <xdr:rowOff>914400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0</xdr:col>
      <xdr:colOff>971550</xdr:colOff>
      <xdr:row>0</xdr:row>
      <xdr:rowOff>914400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sers\fabio.bento\Downloads\me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Orçamento Válido"/>
      <sheetName val="Composições"/>
      <sheetName val="Cronograma"/>
      <sheetName val="memo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Zeros="0" view="pageBreakPreview" zoomScale="75" zoomScaleNormal="75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8.28125" style="0" customWidth="1"/>
    <col min="2" max="2" width="109.7109375" style="0" customWidth="1"/>
    <col min="3" max="3" width="23.140625" style="0" customWidth="1"/>
    <col min="4" max="4" width="17.00390625" style="0" customWidth="1"/>
  </cols>
  <sheetData>
    <row r="1" spans="1:4" s="12" customFormat="1" ht="41.25" customHeight="1">
      <c r="A1" s="548" t="s">
        <v>781</v>
      </c>
      <c r="B1" s="549"/>
      <c r="C1" s="549"/>
      <c r="D1" s="550"/>
    </row>
    <row r="2" spans="1:4" s="12" customFormat="1" ht="21" customHeight="1">
      <c r="A2" s="551"/>
      <c r="B2" s="552"/>
      <c r="C2" s="552"/>
      <c r="D2" s="553"/>
    </row>
    <row r="3" spans="1:4" s="12" customFormat="1" ht="21.75" customHeight="1">
      <c r="A3" s="551"/>
      <c r="B3" s="552"/>
      <c r="C3" s="552"/>
      <c r="D3" s="553"/>
    </row>
    <row r="4" spans="1:4" s="12" customFormat="1" ht="11.25" customHeight="1">
      <c r="A4" s="554"/>
      <c r="B4" s="555"/>
      <c r="C4" s="555"/>
      <c r="D4" s="556"/>
    </row>
    <row r="5" spans="1:4" s="12" customFormat="1" ht="20.25" customHeight="1">
      <c r="A5" s="547" t="s">
        <v>394</v>
      </c>
      <c r="B5" s="547"/>
      <c r="C5" s="485" t="s">
        <v>73</v>
      </c>
      <c r="D5" s="486" t="s">
        <v>782</v>
      </c>
    </row>
    <row r="6" spans="1:4" s="12" customFormat="1" ht="16.5" customHeight="1">
      <c r="A6" s="557" t="s">
        <v>779</v>
      </c>
      <c r="B6" s="557"/>
      <c r="C6" s="485" t="s">
        <v>74</v>
      </c>
      <c r="D6" s="487">
        <v>0.2332</v>
      </c>
    </row>
    <row r="7" spans="1:4" s="12" customFormat="1" ht="21" customHeight="1">
      <c r="A7" s="557" t="s">
        <v>780</v>
      </c>
      <c r="B7" s="557"/>
      <c r="C7" s="485" t="s">
        <v>75</v>
      </c>
      <c r="D7" s="488" t="s">
        <v>76</v>
      </c>
    </row>
    <row r="8" spans="1:4" s="12" customFormat="1" ht="4.5" customHeight="1">
      <c r="A8" s="559"/>
      <c r="B8" s="559"/>
      <c r="C8" s="559"/>
      <c r="D8" s="559"/>
    </row>
    <row r="9" spans="1:4" ht="24" customHeight="1">
      <c r="A9" s="496" t="s">
        <v>1</v>
      </c>
      <c r="B9" s="489" t="s">
        <v>15</v>
      </c>
      <c r="C9" s="490" t="s">
        <v>16</v>
      </c>
      <c r="D9" s="491" t="s">
        <v>17</v>
      </c>
    </row>
    <row r="10" spans="1:4" ht="4.5" customHeight="1">
      <c r="A10" s="562"/>
      <c r="B10" s="563"/>
      <c r="C10" s="122"/>
      <c r="D10" s="123"/>
    </row>
    <row r="11" spans="1:4" s="13" customFormat="1" ht="17.25" customHeight="1">
      <c r="A11" s="492">
        <v>1</v>
      </c>
      <c r="B11" s="483" t="str">
        <f>'Orçamento Válido'!B12</f>
        <v>TERRAPLEGEM, PAVIMENTAÇÃO E RECUPERAÇÃO DE VIAS</v>
      </c>
      <c r="C11" s="494">
        <f>'Orçamento Válido'!H28</f>
        <v>11095599</v>
      </c>
      <c r="D11" s="493">
        <f aca="true" t="shared" si="0" ref="D11:D22">C11/$C$24</f>
        <v>0.2802</v>
      </c>
    </row>
    <row r="12" spans="1:4" ht="17.25" customHeight="1">
      <c r="A12" s="492">
        <v>2</v>
      </c>
      <c r="B12" s="483" t="str">
        <f>'Orçamento Válido'!B30</f>
        <v>FORNECIMENTO DE MATERIAL BETUMINOSO E ARGILA.</v>
      </c>
      <c r="C12" s="494">
        <f>'Orçamento Válido'!H35</f>
        <v>1925317.24</v>
      </c>
      <c r="D12" s="493">
        <f t="shared" si="0"/>
        <v>0.0486</v>
      </c>
    </row>
    <row r="13" spans="1:4" ht="17.25" customHeight="1">
      <c r="A13" s="492">
        <v>3</v>
      </c>
      <c r="B13" s="483" t="str">
        <f>'Orçamento Válido'!B37</f>
        <v>BONIFICAÇÃO SOBRE FORNECIMENTO DE MATERIAL BETUMINOSO</v>
      </c>
      <c r="C13" s="494">
        <f>'Orçamento Válido'!H39</f>
        <v>294188.47</v>
      </c>
      <c r="D13" s="493">
        <f t="shared" si="0"/>
        <v>0.0074</v>
      </c>
    </row>
    <row r="14" spans="1:4" ht="17.25" customHeight="1">
      <c r="A14" s="492">
        <v>4</v>
      </c>
      <c r="B14" s="483" t="str">
        <f>'Orçamento Válido'!B41</f>
        <v>TRANSPORTE DE MATERIAL BETUMINOSOS</v>
      </c>
      <c r="C14" s="494">
        <f>'Orçamento Válido'!H47</f>
        <v>1238554.86</v>
      </c>
      <c r="D14" s="493">
        <f t="shared" si="0"/>
        <v>0.0313</v>
      </c>
    </row>
    <row r="15" spans="1:4" ht="17.25" customHeight="1">
      <c r="A15" s="492">
        <v>5</v>
      </c>
      <c r="B15" s="483" t="str">
        <f>'Orçamento Válido'!B49</f>
        <v>OBRAS DE DREANGEM E ESGOTO</v>
      </c>
      <c r="C15" s="494">
        <f>'Orçamento Válido'!H61+'Orçamento Válido'!H109+'Orçamento Válido'!H132+'Orçamento Válido'!H141</f>
        <v>15266358.41</v>
      </c>
      <c r="D15" s="493">
        <f t="shared" si="0"/>
        <v>0.3855</v>
      </c>
    </row>
    <row r="16" spans="1:4" ht="17.25" customHeight="1">
      <c r="A16" s="492">
        <v>6</v>
      </c>
      <c r="B16" s="483" t="str">
        <f>'Orçamento Válido'!B143</f>
        <v>SINALIZAÇÃO</v>
      </c>
      <c r="C16" s="494">
        <f>'Orçamento Válido'!H153</f>
        <v>1213968</v>
      </c>
      <c r="D16" s="493">
        <f t="shared" si="0"/>
        <v>0.0307</v>
      </c>
    </row>
    <row r="17" spans="1:4" ht="17.25" customHeight="1">
      <c r="A17" s="492">
        <v>7</v>
      </c>
      <c r="B17" s="483" t="str">
        <f>'Orçamento Válido'!B155</f>
        <v>OBRAS COMPLEMENTARES</v>
      </c>
      <c r="C17" s="494">
        <f>'Orçamento Válido'!H165</f>
        <v>752425</v>
      </c>
      <c r="D17" s="493">
        <f t="shared" si="0"/>
        <v>0.019</v>
      </c>
    </row>
    <row r="18" spans="1:4" ht="17.25" customHeight="1">
      <c r="A18" s="492">
        <v>8</v>
      </c>
      <c r="B18" s="483" t="str">
        <f>'Orçamento Válido'!B167</f>
        <v>REMOÇÕES, BOTA-FORA E TRANSPORTES</v>
      </c>
      <c r="C18" s="494">
        <f>'Orçamento Válido'!H174</f>
        <v>1508000</v>
      </c>
      <c r="D18" s="493">
        <f t="shared" si="0"/>
        <v>0.0381</v>
      </c>
    </row>
    <row r="19" spans="1:4" ht="17.25" customHeight="1">
      <c r="A19" s="492">
        <v>9</v>
      </c>
      <c r="B19" s="483" t="str">
        <f>'Orçamento Válido'!B176</f>
        <v>PAISAGISMO E URBANIZAÇÃO.</v>
      </c>
      <c r="C19" s="494">
        <f>'Orçamento Válido'!H189</f>
        <v>2440726</v>
      </c>
      <c r="D19" s="493">
        <f t="shared" si="0"/>
        <v>0.0616</v>
      </c>
    </row>
    <row r="20" spans="1:4" ht="17.25" customHeight="1">
      <c r="A20" s="492">
        <v>10</v>
      </c>
      <c r="B20" s="483" t="str">
        <f>'Orçamento Válido'!B191</f>
        <v> TRANSPORTE DE MATERIAIS</v>
      </c>
      <c r="C20" s="494">
        <f>'Orçamento Válido'!H200</f>
        <v>1596300</v>
      </c>
      <c r="D20" s="493">
        <f t="shared" si="0"/>
        <v>0.0403</v>
      </c>
    </row>
    <row r="21" spans="1:4" ht="17.25" customHeight="1">
      <c r="A21" s="492">
        <v>11</v>
      </c>
      <c r="B21" s="483" t="str">
        <f>'Orçamento Válido'!B202</f>
        <v>CANTEIRO, MOBILIZAÇÕES E DESMOBILIZAÇÕES</v>
      </c>
      <c r="C21" s="494">
        <f>'Orçamento Válido'!H217</f>
        <v>537215.38</v>
      </c>
      <c r="D21" s="493">
        <f t="shared" si="0"/>
        <v>0.0136</v>
      </c>
    </row>
    <row r="22" spans="1:4" ht="17.25" customHeight="1">
      <c r="A22" s="492">
        <v>12</v>
      </c>
      <c r="B22" s="483" t="str">
        <f>'Orçamento Válido'!B219</f>
        <v>ADMINISTRAÇÃO LOCAL</v>
      </c>
      <c r="C22" s="494">
        <f>'Orçamento Válido'!H221</f>
        <v>1736778</v>
      </c>
      <c r="D22" s="493">
        <f t="shared" si="0"/>
        <v>0.0439</v>
      </c>
    </row>
    <row r="23" spans="1:4" ht="4.5" customHeight="1">
      <c r="A23" s="560"/>
      <c r="B23" s="561"/>
      <c r="C23" s="125"/>
      <c r="D23" s="124"/>
    </row>
    <row r="24" spans="1:4" ht="18" customHeight="1">
      <c r="A24" s="558" t="s">
        <v>18</v>
      </c>
      <c r="B24" s="558"/>
      <c r="C24" s="495">
        <f>SUM(C11:C22)</f>
        <v>39605430.36</v>
      </c>
      <c r="D24" s="484">
        <f>ROUND(SUM(D11:D22),2)</f>
        <v>1</v>
      </c>
    </row>
    <row r="25" ht="13.5" customHeight="1"/>
  </sheetData>
  <sheetProtection selectLockedCells="1" selectUnlockedCells="1"/>
  <mergeCells count="8">
    <mergeCell ref="A5:B5"/>
    <mergeCell ref="A1:D4"/>
    <mergeCell ref="A6:B6"/>
    <mergeCell ref="A7:B7"/>
    <mergeCell ref="A24:B24"/>
    <mergeCell ref="A8:D8"/>
    <mergeCell ref="A23:B23"/>
    <mergeCell ref="A10:B10"/>
  </mergeCells>
  <printOptions horizontalCentered="1"/>
  <pageMargins left="0.5902777777777778" right="0.5902777777777778" top="1.18125" bottom="0.7875" header="0.5118055555555555" footer="0.6694444444444444"/>
  <pageSetup horizontalDpi="300" verticalDpi="300" orientation="landscape" paperSize="9" scale="86" r:id="rId2"/>
  <headerFooter alignWithMargins="0">
    <oddFooter>&amp;R&amp;P/&amp;N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8"/>
  <sheetViews>
    <sheetView showGridLines="0" showZeros="0" view="pageBreakPreview" zoomScale="85" zoomScaleNormal="85" zoomScaleSheetLayoutView="85" zoomScalePageLayoutView="0" workbookViewId="0" topLeftCell="A205">
      <selection activeCell="A174" sqref="A174:G174"/>
    </sheetView>
  </sheetViews>
  <sheetFormatPr defaultColWidth="9.140625" defaultRowHeight="12.75"/>
  <cols>
    <col min="1" max="1" width="6.00390625" style="1" customWidth="1"/>
    <col min="2" max="2" width="12.28125" style="1" customWidth="1"/>
    <col min="3" max="3" width="12.7109375" style="1" customWidth="1"/>
    <col min="4" max="4" width="74.57421875" style="2" customWidth="1"/>
    <col min="5" max="5" width="6.28125" style="354" customWidth="1"/>
    <col min="6" max="6" width="10.28125" style="3" customWidth="1"/>
    <col min="7" max="7" width="14.7109375" style="3" bestFit="1" customWidth="1"/>
    <col min="8" max="8" width="18.57421875" style="4" customWidth="1"/>
    <col min="9" max="11" width="10.8515625" style="263" customWidth="1"/>
    <col min="12" max="12" width="2.8515625" style="6" customWidth="1"/>
    <col min="13" max="13" width="13.421875" style="4" bestFit="1" customWidth="1"/>
    <col min="14" max="14" width="12.8515625" style="4" bestFit="1" customWidth="1"/>
    <col min="15" max="15" width="15.28125" style="4" bestFit="1" customWidth="1"/>
    <col min="16" max="17" width="12.8515625" style="233" bestFit="1" customWidth="1"/>
    <col min="18" max="18" width="13.28125" style="254" customWidth="1"/>
    <col min="19" max="16384" width="9.140625" style="5" customWidth="1"/>
  </cols>
  <sheetData>
    <row r="1" spans="1:248" ht="14.25">
      <c r="A1" s="566" t="s">
        <v>430</v>
      </c>
      <c r="B1" s="567"/>
      <c r="C1" s="567"/>
      <c r="D1" s="567"/>
      <c r="E1" s="567"/>
      <c r="F1" s="567"/>
      <c r="G1" s="567"/>
      <c r="H1" s="567"/>
      <c r="I1" s="568"/>
      <c r="J1" s="286"/>
      <c r="K1" s="286"/>
      <c r="L1" s="18"/>
      <c r="M1" s="264"/>
      <c r="N1" s="264"/>
      <c r="O1" s="264"/>
      <c r="P1" s="223"/>
      <c r="Q1" s="223"/>
      <c r="R1" s="246"/>
      <c r="S1" s="24"/>
      <c r="T1" s="26"/>
      <c r="U1" s="26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</row>
    <row r="2" spans="1:248" ht="12.75" customHeight="1">
      <c r="A2" s="569"/>
      <c r="B2" s="570"/>
      <c r="C2" s="570"/>
      <c r="D2" s="570"/>
      <c r="E2" s="570"/>
      <c r="F2" s="570"/>
      <c r="G2" s="570"/>
      <c r="H2" s="570"/>
      <c r="I2" s="571"/>
      <c r="J2" s="286"/>
      <c r="K2" s="286"/>
      <c r="L2" s="18"/>
      <c r="M2" s="264"/>
      <c r="N2" s="264"/>
      <c r="O2" s="264"/>
      <c r="P2" s="223"/>
      <c r="Q2" s="223"/>
      <c r="R2" s="246"/>
      <c r="S2" s="25"/>
      <c r="T2" s="26"/>
      <c r="U2" s="26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248" ht="12.75" customHeight="1">
      <c r="A3" s="569"/>
      <c r="B3" s="570"/>
      <c r="C3" s="570"/>
      <c r="D3" s="570"/>
      <c r="E3" s="570"/>
      <c r="F3" s="570"/>
      <c r="G3" s="570"/>
      <c r="H3" s="570"/>
      <c r="I3" s="571"/>
      <c r="J3" s="286"/>
      <c r="K3" s="286"/>
      <c r="L3" s="18"/>
      <c r="M3" s="264"/>
      <c r="N3" s="264"/>
      <c r="O3" s="264"/>
      <c r="P3" s="223"/>
      <c r="Q3" s="223"/>
      <c r="R3" s="246"/>
      <c r="S3" s="25"/>
      <c r="T3" s="26"/>
      <c r="U3" s="26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</row>
    <row r="4" spans="1:248" ht="12.75" customHeight="1">
      <c r="A4" s="569"/>
      <c r="B4" s="570"/>
      <c r="C4" s="570"/>
      <c r="D4" s="570"/>
      <c r="E4" s="570"/>
      <c r="F4" s="570"/>
      <c r="G4" s="570"/>
      <c r="H4" s="570"/>
      <c r="I4" s="571"/>
      <c r="J4" s="286"/>
      <c r="K4" s="286"/>
      <c r="L4" s="18"/>
      <c r="M4" s="264"/>
      <c r="N4" s="264"/>
      <c r="O4" s="264"/>
      <c r="P4" s="223"/>
      <c r="Q4" s="223"/>
      <c r="R4" s="246"/>
      <c r="S4" s="26"/>
      <c r="T4" s="26"/>
      <c r="U4" s="26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8" ht="12.75" customHeight="1">
      <c r="A5" s="569"/>
      <c r="B5" s="570"/>
      <c r="C5" s="570"/>
      <c r="D5" s="570"/>
      <c r="E5" s="570"/>
      <c r="F5" s="570"/>
      <c r="G5" s="570"/>
      <c r="H5" s="570"/>
      <c r="I5" s="571"/>
      <c r="J5" s="286"/>
      <c r="K5" s="286"/>
      <c r="L5" s="18"/>
      <c r="M5" s="264"/>
      <c r="N5" s="264"/>
      <c r="O5" s="264"/>
      <c r="P5" s="224"/>
      <c r="Q5" s="224"/>
      <c r="R5" s="247"/>
      <c r="S5" s="26"/>
      <c r="T5" s="19"/>
      <c r="U5" s="2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</row>
    <row r="6" spans="1:248" ht="12.75" customHeight="1">
      <c r="A6" s="569"/>
      <c r="B6" s="570"/>
      <c r="C6" s="570"/>
      <c r="D6" s="570"/>
      <c r="E6" s="570"/>
      <c r="F6" s="570"/>
      <c r="G6" s="570"/>
      <c r="H6" s="570"/>
      <c r="I6" s="571"/>
      <c r="J6" s="286"/>
      <c r="K6" s="286"/>
      <c r="L6" s="18"/>
      <c r="M6" s="264"/>
      <c r="N6" s="264"/>
      <c r="O6" s="264"/>
      <c r="P6" s="224"/>
      <c r="Q6" s="224"/>
      <c r="R6" s="247"/>
      <c r="S6" s="26"/>
      <c r="T6" s="19"/>
      <c r="U6" s="2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248" ht="24.75" customHeight="1">
      <c r="A7" s="573" t="s">
        <v>393</v>
      </c>
      <c r="B7" s="574"/>
      <c r="C7" s="574"/>
      <c r="D7" s="574"/>
      <c r="E7" s="574"/>
      <c r="F7" s="574"/>
      <c r="G7" s="575"/>
      <c r="H7" s="45" t="s">
        <v>73</v>
      </c>
      <c r="I7" s="277">
        <v>44348</v>
      </c>
      <c r="J7" s="288"/>
      <c r="K7" s="288"/>
      <c r="L7" s="18"/>
      <c r="M7" s="264"/>
      <c r="N7" s="264"/>
      <c r="O7" s="264"/>
      <c r="P7" s="224"/>
      <c r="Q7" s="224"/>
      <c r="R7" s="247"/>
      <c r="S7" s="26"/>
      <c r="T7" s="19"/>
      <c r="U7" s="2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ht="15" customHeight="1">
      <c r="A8" s="576" t="s">
        <v>92</v>
      </c>
      <c r="B8" s="577"/>
      <c r="C8" s="577"/>
      <c r="D8" s="577"/>
      <c r="E8" s="577"/>
      <c r="F8" s="577"/>
      <c r="G8" s="578"/>
      <c r="H8" s="45" t="s">
        <v>74</v>
      </c>
      <c r="I8" s="46">
        <v>0.2332</v>
      </c>
      <c r="J8" s="289"/>
      <c r="K8" s="289"/>
      <c r="L8" s="18"/>
      <c r="M8" s="264"/>
      <c r="N8" s="264"/>
      <c r="O8" s="264"/>
      <c r="P8" s="224"/>
      <c r="Q8" s="224"/>
      <c r="R8" s="247"/>
      <c r="S8" s="26"/>
      <c r="T8" s="19"/>
      <c r="U8" s="2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ht="18" customHeight="1">
      <c r="A9" s="579" t="s">
        <v>429</v>
      </c>
      <c r="B9" s="580"/>
      <c r="C9" s="580"/>
      <c r="D9" s="580"/>
      <c r="E9" s="580"/>
      <c r="F9" s="580"/>
      <c r="G9" s="581"/>
      <c r="H9" s="47" t="s">
        <v>75</v>
      </c>
      <c r="I9" s="257" t="s">
        <v>76</v>
      </c>
      <c r="J9" s="290"/>
      <c r="K9" s="290"/>
      <c r="L9" s="18" t="s">
        <v>0</v>
      </c>
      <c r="R9" s="255"/>
      <c r="S9" s="26"/>
      <c r="T9" s="19"/>
      <c r="U9" s="2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ht="6" customHeight="1">
      <c r="A10" s="572"/>
      <c r="B10" s="572"/>
      <c r="C10" s="572"/>
      <c r="D10" s="572"/>
      <c r="E10" s="572"/>
      <c r="F10" s="572"/>
      <c r="G10" s="572"/>
      <c r="H10" s="572"/>
      <c r="I10" s="572"/>
      <c r="J10" s="291"/>
      <c r="K10" s="291"/>
      <c r="L10" s="18"/>
      <c r="M10" s="264"/>
      <c r="N10" s="264"/>
      <c r="O10" s="264"/>
      <c r="P10" s="223"/>
      <c r="Q10" s="223"/>
      <c r="R10" s="246"/>
      <c r="S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ht="30" customHeight="1">
      <c r="A11" s="51" t="s">
        <v>1</v>
      </c>
      <c r="B11" s="51" t="s">
        <v>2</v>
      </c>
      <c r="C11" s="51" t="s">
        <v>91</v>
      </c>
      <c r="D11" s="52" t="s">
        <v>3</v>
      </c>
      <c r="E11" s="338" t="s">
        <v>4</v>
      </c>
      <c r="F11" s="53" t="s">
        <v>5</v>
      </c>
      <c r="G11" s="54" t="s">
        <v>6</v>
      </c>
      <c r="H11" s="54" t="s">
        <v>7</v>
      </c>
      <c r="I11" s="258" t="s">
        <v>8</v>
      </c>
      <c r="J11" s="292"/>
      <c r="K11" s="292"/>
      <c r="L11" s="18"/>
      <c r="M11" s="245" t="s">
        <v>423</v>
      </c>
      <c r="N11" s="245" t="s">
        <v>422</v>
      </c>
      <c r="O11" s="245" t="s">
        <v>425</v>
      </c>
      <c r="P11" s="245" t="s">
        <v>421</v>
      </c>
      <c r="Q11" s="245" t="s">
        <v>426</v>
      </c>
      <c r="R11" s="256" t="s">
        <v>9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18" s="8" customFormat="1" ht="18" customHeight="1">
      <c r="A12" s="65" t="s">
        <v>10</v>
      </c>
      <c r="B12" s="66" t="s">
        <v>493</v>
      </c>
      <c r="C12" s="62"/>
      <c r="D12" s="62"/>
      <c r="E12" s="349"/>
      <c r="F12" s="62"/>
      <c r="G12" s="62"/>
      <c r="H12" s="62"/>
      <c r="I12" s="259"/>
      <c r="J12" s="287"/>
      <c r="K12" s="287"/>
      <c r="L12" s="20"/>
      <c r="M12" s="201"/>
      <c r="N12" s="201"/>
      <c r="O12" s="202">
        <f aca="true" t="shared" si="0" ref="O12:O18">N12*1.0875</f>
        <v>0</v>
      </c>
      <c r="P12" s="225"/>
      <c r="Q12" s="225">
        <f aca="true" t="shared" si="1" ref="Q12:Q18">P12*1.1735</f>
        <v>0</v>
      </c>
      <c r="R12" s="248">
        <f>P12*1.2332</f>
        <v>0</v>
      </c>
    </row>
    <row r="13" spans="1:18" s="7" customFormat="1" ht="12.75" customHeight="1">
      <c r="A13" s="198" t="s">
        <v>20</v>
      </c>
      <c r="B13" s="218" t="s">
        <v>485</v>
      </c>
      <c r="C13" s="271" t="s">
        <v>85</v>
      </c>
      <c r="D13" s="219" t="s">
        <v>19</v>
      </c>
      <c r="E13" s="339" t="s">
        <v>22</v>
      </c>
      <c r="F13" s="201">
        <v>20000</v>
      </c>
      <c r="G13" s="276">
        <v>3.36</v>
      </c>
      <c r="H13" s="202">
        <f aca="true" t="shared" si="2" ref="H13:H27">F13*G13</f>
        <v>67200</v>
      </c>
      <c r="I13" s="203">
        <f aca="true" t="shared" si="3" ref="I13:I27">H13/$H$223</f>
        <v>0.0017</v>
      </c>
      <c r="J13" s="293"/>
      <c r="K13" s="293"/>
      <c r="M13" s="201"/>
      <c r="N13" s="201"/>
      <c r="O13" s="202">
        <f t="shared" si="0"/>
        <v>0</v>
      </c>
      <c r="P13" s="225"/>
      <c r="Q13" s="225">
        <f t="shared" si="1"/>
        <v>0</v>
      </c>
      <c r="R13" s="248">
        <f>P13*1.2332</f>
        <v>0</v>
      </c>
    </row>
    <row r="14" spans="1:18" s="8" customFormat="1" ht="31.5" customHeight="1">
      <c r="A14" s="198" t="s">
        <v>63</v>
      </c>
      <c r="B14" s="218" t="s">
        <v>484</v>
      </c>
      <c r="C14" s="271" t="s">
        <v>85</v>
      </c>
      <c r="D14" s="278" t="s">
        <v>72</v>
      </c>
      <c r="E14" s="339" t="s">
        <v>22</v>
      </c>
      <c r="F14" s="201">
        <v>8000</v>
      </c>
      <c r="G14" s="276">
        <v>105.42</v>
      </c>
      <c r="H14" s="202">
        <f t="shared" si="2"/>
        <v>843360</v>
      </c>
      <c r="I14" s="203">
        <f t="shared" si="3"/>
        <v>0.0213</v>
      </c>
      <c r="J14" s="293"/>
      <c r="K14" s="303">
        <f>54.83/K15</f>
        <v>7.41</v>
      </c>
      <c r="L14" s="21"/>
      <c r="M14" s="201"/>
      <c r="N14" s="201"/>
      <c r="O14" s="202">
        <f t="shared" si="0"/>
        <v>0</v>
      </c>
      <c r="P14" s="225"/>
      <c r="Q14" s="225">
        <f t="shared" si="1"/>
        <v>0</v>
      </c>
      <c r="R14" s="248">
        <f>P14*1.2332</f>
        <v>0</v>
      </c>
    </row>
    <row r="15" spans="1:19" s="8" customFormat="1" ht="12.75" customHeight="1">
      <c r="A15" s="198" t="s">
        <v>83</v>
      </c>
      <c r="B15" s="204" t="s">
        <v>84</v>
      </c>
      <c r="C15" s="271" t="s">
        <v>85</v>
      </c>
      <c r="D15" s="278" t="s">
        <v>87</v>
      </c>
      <c r="E15" s="339" t="s">
        <v>22</v>
      </c>
      <c r="F15" s="201">
        <v>20000</v>
      </c>
      <c r="G15" s="276">
        <v>21.8</v>
      </c>
      <c r="H15" s="202">
        <f t="shared" si="2"/>
        <v>436000</v>
      </c>
      <c r="I15" s="220">
        <f t="shared" si="3"/>
        <v>0.011</v>
      </c>
      <c r="J15" s="294"/>
      <c r="K15" s="303">
        <f>0.617*12</f>
        <v>7.4</v>
      </c>
      <c r="M15" s="201"/>
      <c r="N15" s="201"/>
      <c r="O15" s="202">
        <f t="shared" si="0"/>
        <v>0</v>
      </c>
      <c r="P15" s="225">
        <v>19.26</v>
      </c>
      <c r="Q15" s="225">
        <f t="shared" si="1"/>
        <v>22.6</v>
      </c>
      <c r="R15" s="248">
        <f>(M15+O15+Q15)*1.2332</f>
        <v>27.87</v>
      </c>
      <c r="S15" s="8">
        <v>23.75</v>
      </c>
    </row>
    <row r="16" spans="1:18" s="8" customFormat="1" ht="12.75" customHeight="1">
      <c r="A16" s="198" t="s">
        <v>86</v>
      </c>
      <c r="B16" s="218" t="s">
        <v>487</v>
      </c>
      <c r="C16" s="271" t="s">
        <v>85</v>
      </c>
      <c r="D16" s="278" t="s">
        <v>486</v>
      </c>
      <c r="E16" s="339" t="s">
        <v>22</v>
      </c>
      <c r="F16" s="201">
        <v>20000</v>
      </c>
      <c r="G16" s="276">
        <v>78.4</v>
      </c>
      <c r="H16" s="202">
        <f t="shared" si="2"/>
        <v>1568000</v>
      </c>
      <c r="I16" s="220">
        <f t="shared" si="3"/>
        <v>0.0396</v>
      </c>
      <c r="J16" s="294"/>
      <c r="K16" s="294"/>
      <c r="M16" s="201"/>
      <c r="N16" s="201"/>
      <c r="O16" s="202">
        <f t="shared" si="0"/>
        <v>0</v>
      </c>
      <c r="P16" s="225"/>
      <c r="Q16" s="225">
        <f t="shared" si="1"/>
        <v>0</v>
      </c>
      <c r="R16" s="249">
        <f>(M16+O16+Q16)*1.2332</f>
        <v>0</v>
      </c>
    </row>
    <row r="17" spans="1:18" s="8" customFormat="1" ht="25.5">
      <c r="A17" s="198" t="s">
        <v>88</v>
      </c>
      <c r="B17" s="218" t="s">
        <v>488</v>
      </c>
      <c r="C17" s="271" t="s">
        <v>85</v>
      </c>
      <c r="D17" s="278" t="s">
        <v>494</v>
      </c>
      <c r="E17" s="339" t="s">
        <v>22</v>
      </c>
      <c r="F17" s="201">
        <v>26400</v>
      </c>
      <c r="G17" s="276">
        <v>117.17</v>
      </c>
      <c r="H17" s="202">
        <f t="shared" si="2"/>
        <v>3093288</v>
      </c>
      <c r="I17" s="220">
        <f t="shared" si="3"/>
        <v>0.0781</v>
      </c>
      <c r="J17" s="294"/>
      <c r="K17" s="294"/>
      <c r="M17" s="201"/>
      <c r="N17" s="201"/>
      <c r="O17" s="202">
        <f t="shared" si="0"/>
        <v>0</v>
      </c>
      <c r="P17" s="225"/>
      <c r="Q17" s="225">
        <f t="shared" si="1"/>
        <v>0</v>
      </c>
      <c r="R17" s="249">
        <f>(M17+O17+Q17)*1.2332</f>
        <v>0</v>
      </c>
    </row>
    <row r="18" spans="1:18" s="8" customFormat="1" ht="25.5">
      <c r="A18" s="405" t="s">
        <v>89</v>
      </c>
      <c r="B18" s="304" t="s">
        <v>698</v>
      </c>
      <c r="C18" s="305" t="s">
        <v>21</v>
      </c>
      <c r="D18" s="283" t="s">
        <v>495</v>
      </c>
      <c r="E18" s="339" t="s">
        <v>22</v>
      </c>
      <c r="F18" s="201">
        <v>12000</v>
      </c>
      <c r="G18" s="419">
        <v>131.93</v>
      </c>
      <c r="H18" s="202">
        <f t="shared" si="2"/>
        <v>1583160</v>
      </c>
      <c r="I18" s="203">
        <f t="shared" si="3"/>
        <v>0.04</v>
      </c>
      <c r="J18" s="293"/>
      <c r="K18" s="293"/>
      <c r="L18" s="21"/>
      <c r="M18" s="201"/>
      <c r="N18" s="201"/>
      <c r="O18" s="202">
        <f t="shared" si="0"/>
        <v>0</v>
      </c>
      <c r="P18" s="225"/>
      <c r="Q18" s="225">
        <f t="shared" si="1"/>
        <v>0</v>
      </c>
      <c r="R18" s="249">
        <f>(M18+O18+Q18)*1.2332</f>
        <v>0</v>
      </c>
    </row>
    <row r="19" spans="1:18" s="8" customFormat="1" ht="25.5">
      <c r="A19" s="198" t="s">
        <v>90</v>
      </c>
      <c r="B19" s="304" t="s">
        <v>481</v>
      </c>
      <c r="C19" s="305" t="s">
        <v>424</v>
      </c>
      <c r="D19" s="283" t="s">
        <v>95</v>
      </c>
      <c r="E19" s="339" t="s">
        <v>450</v>
      </c>
      <c r="F19" s="201">
        <v>22000</v>
      </c>
      <c r="G19" s="276">
        <v>1.45</v>
      </c>
      <c r="H19" s="202">
        <f t="shared" si="2"/>
        <v>31900</v>
      </c>
      <c r="I19" s="203">
        <f t="shared" si="3"/>
        <v>0.0008</v>
      </c>
      <c r="J19" s="293"/>
      <c r="K19" s="293"/>
      <c r="L19" s="21"/>
      <c r="M19" s="201"/>
      <c r="N19" s="201"/>
      <c r="O19" s="202"/>
      <c r="P19" s="225"/>
      <c r="Q19" s="225"/>
      <c r="R19" s="249"/>
    </row>
    <row r="20" spans="1:18" s="8" customFormat="1" ht="25.5">
      <c r="A20" s="198" t="s">
        <v>442</v>
      </c>
      <c r="B20" s="304" t="s">
        <v>479</v>
      </c>
      <c r="C20" s="305" t="s">
        <v>424</v>
      </c>
      <c r="D20" s="283" t="s">
        <v>478</v>
      </c>
      <c r="E20" s="339" t="s">
        <v>450</v>
      </c>
      <c r="F20" s="201">
        <v>22000</v>
      </c>
      <c r="G20" s="276">
        <v>1.2</v>
      </c>
      <c r="H20" s="202">
        <f t="shared" si="2"/>
        <v>26400</v>
      </c>
      <c r="I20" s="203">
        <f t="shared" si="3"/>
        <v>0.0007</v>
      </c>
      <c r="J20" s="293"/>
      <c r="K20" s="293"/>
      <c r="L20" s="21"/>
      <c r="M20" s="201"/>
      <c r="N20" s="201"/>
      <c r="O20" s="202"/>
      <c r="P20" s="225"/>
      <c r="Q20" s="225"/>
      <c r="R20" s="249"/>
    </row>
    <row r="21" spans="1:18" s="8" customFormat="1" ht="25.5">
      <c r="A21" s="198" t="s">
        <v>443</v>
      </c>
      <c r="B21" s="304" t="s">
        <v>473</v>
      </c>
      <c r="C21" s="305" t="s">
        <v>424</v>
      </c>
      <c r="D21" s="283" t="s">
        <v>477</v>
      </c>
      <c r="E21" s="339" t="s">
        <v>67</v>
      </c>
      <c r="F21" s="201">
        <v>3100</v>
      </c>
      <c r="G21" s="276">
        <v>132.63</v>
      </c>
      <c r="H21" s="202">
        <f t="shared" si="2"/>
        <v>411153</v>
      </c>
      <c r="I21" s="203">
        <f t="shared" si="3"/>
        <v>0.0104</v>
      </c>
      <c r="J21" s="303"/>
      <c r="K21" s="293"/>
      <c r="L21" s="21"/>
      <c r="M21" s="201"/>
      <c r="N21" s="201"/>
      <c r="O21" s="202"/>
      <c r="P21" s="225"/>
      <c r="Q21" s="225"/>
      <c r="R21" s="249"/>
    </row>
    <row r="22" spans="1:18" s="8" customFormat="1" ht="12" customHeight="1">
      <c r="A22" s="198" t="s">
        <v>444</v>
      </c>
      <c r="B22" s="304" t="s">
        <v>474</v>
      </c>
      <c r="C22" s="305" t="s">
        <v>424</v>
      </c>
      <c r="D22" s="283" t="s">
        <v>475</v>
      </c>
      <c r="E22" s="339" t="s">
        <v>67</v>
      </c>
      <c r="F22" s="201">
        <v>3100</v>
      </c>
      <c r="G22" s="276">
        <v>135.33</v>
      </c>
      <c r="H22" s="202">
        <f t="shared" si="2"/>
        <v>419523</v>
      </c>
      <c r="I22" s="203">
        <f t="shared" si="3"/>
        <v>0.0106</v>
      </c>
      <c r="J22" s="293"/>
      <c r="K22" s="293"/>
      <c r="L22" s="21"/>
      <c r="M22" s="201"/>
      <c r="N22" s="201"/>
      <c r="O22" s="202"/>
      <c r="P22" s="225"/>
      <c r="Q22" s="225"/>
      <c r="R22" s="249"/>
    </row>
    <row r="23" spans="1:18" s="8" customFormat="1" ht="12" customHeight="1">
      <c r="A23" s="198" t="s">
        <v>445</v>
      </c>
      <c r="B23" s="306">
        <v>40868</v>
      </c>
      <c r="C23" s="305" t="s">
        <v>424</v>
      </c>
      <c r="D23" t="s">
        <v>638</v>
      </c>
      <c r="E23" s="339" t="s">
        <v>450</v>
      </c>
      <c r="F23" s="201">
        <v>20000</v>
      </c>
      <c r="G23" s="276">
        <v>19.62</v>
      </c>
      <c r="H23" s="202">
        <f>F23*G23</f>
        <v>392400</v>
      </c>
      <c r="I23" s="203">
        <f t="shared" si="3"/>
        <v>0.0099</v>
      </c>
      <c r="J23" s="293"/>
      <c r="K23" s="293"/>
      <c r="L23" s="21"/>
      <c r="M23" s="201"/>
      <c r="N23" s="201"/>
      <c r="O23" s="202"/>
      <c r="P23" s="225"/>
      <c r="Q23" s="225"/>
      <c r="R23" s="249"/>
    </row>
    <row r="24" spans="1:18" s="8" customFormat="1" ht="14.25">
      <c r="A24" s="198" t="s">
        <v>446</v>
      </c>
      <c r="B24" s="312" t="s">
        <v>455</v>
      </c>
      <c r="C24" s="305" t="s">
        <v>424</v>
      </c>
      <c r="D24" s="283" t="s">
        <v>449</v>
      </c>
      <c r="E24" s="339" t="s">
        <v>450</v>
      </c>
      <c r="F24" s="201">
        <v>40000</v>
      </c>
      <c r="G24" s="276">
        <v>1.5</v>
      </c>
      <c r="H24" s="202">
        <f t="shared" si="2"/>
        <v>60000</v>
      </c>
      <c r="I24" s="203">
        <f t="shared" si="3"/>
        <v>0.0015</v>
      </c>
      <c r="J24" s="293"/>
      <c r="K24" s="293"/>
      <c r="L24" s="21"/>
      <c r="M24" s="201"/>
      <c r="N24" s="201"/>
      <c r="O24" s="202"/>
      <c r="P24" s="225"/>
      <c r="Q24" s="225"/>
      <c r="R24" s="249"/>
    </row>
    <row r="25" spans="1:18" s="8" customFormat="1" ht="25.5">
      <c r="A25" s="198" t="s">
        <v>447</v>
      </c>
      <c r="B25" s="312" t="s">
        <v>456</v>
      </c>
      <c r="C25" s="305" t="s">
        <v>424</v>
      </c>
      <c r="D25" s="283" t="s">
        <v>452</v>
      </c>
      <c r="E25" s="339" t="s">
        <v>451</v>
      </c>
      <c r="F25" s="201">
        <v>4200</v>
      </c>
      <c r="G25" s="276">
        <v>114.31</v>
      </c>
      <c r="H25" s="202">
        <f t="shared" si="2"/>
        <v>480102</v>
      </c>
      <c r="I25" s="203">
        <f t="shared" si="3"/>
        <v>0.0121</v>
      </c>
      <c r="J25" s="293"/>
      <c r="K25" s="293"/>
      <c r="L25" s="21"/>
      <c r="M25" s="201"/>
      <c r="N25" s="201"/>
      <c r="O25" s="202"/>
      <c r="P25" s="225"/>
      <c r="Q25" s="225"/>
      <c r="R25" s="249"/>
    </row>
    <row r="26" spans="1:18" s="8" customFormat="1" ht="25.5">
      <c r="A26" s="198" t="s">
        <v>448</v>
      </c>
      <c r="B26" s="218" t="s">
        <v>489</v>
      </c>
      <c r="C26" s="271" t="s">
        <v>85</v>
      </c>
      <c r="D26" s="307" t="s">
        <v>96</v>
      </c>
      <c r="E26" s="339" t="s">
        <v>23</v>
      </c>
      <c r="F26" s="201">
        <v>7300</v>
      </c>
      <c r="G26" s="276">
        <v>120.01</v>
      </c>
      <c r="H26" s="202">
        <f t="shared" si="2"/>
        <v>876073</v>
      </c>
      <c r="I26" s="203">
        <f t="shared" si="3"/>
        <v>0.0221</v>
      </c>
      <c r="J26" s="293"/>
      <c r="K26" s="293"/>
      <c r="L26" s="21"/>
      <c r="M26" s="201"/>
      <c r="N26" s="201"/>
      <c r="O26" s="202"/>
      <c r="P26" s="225"/>
      <c r="Q26" s="225"/>
      <c r="R26" s="249"/>
    </row>
    <row r="27" spans="1:18" s="8" customFormat="1" ht="12" customHeight="1">
      <c r="A27" s="198" t="s">
        <v>639</v>
      </c>
      <c r="B27" s="312" t="s">
        <v>457</v>
      </c>
      <c r="C27" s="305" t="s">
        <v>424</v>
      </c>
      <c r="D27" s="283" t="s">
        <v>453</v>
      </c>
      <c r="E27" s="339" t="s">
        <v>450</v>
      </c>
      <c r="F27" s="201">
        <v>8000</v>
      </c>
      <c r="G27" s="276">
        <v>100.88</v>
      </c>
      <c r="H27" s="202">
        <f t="shared" si="2"/>
        <v>807040</v>
      </c>
      <c r="I27" s="203">
        <f t="shared" si="3"/>
        <v>0.0204</v>
      </c>
      <c r="J27" s="293"/>
      <c r="K27" s="293"/>
      <c r="L27" s="21"/>
      <c r="M27" s="201"/>
      <c r="N27" s="201"/>
      <c r="O27" s="202"/>
      <c r="P27" s="225"/>
      <c r="Q27" s="225"/>
      <c r="R27" s="249"/>
    </row>
    <row r="28" spans="1:18" s="8" customFormat="1" ht="18" customHeight="1">
      <c r="A28" s="585" t="s">
        <v>100</v>
      </c>
      <c r="B28" s="586"/>
      <c r="C28" s="586"/>
      <c r="D28" s="586"/>
      <c r="E28" s="586"/>
      <c r="F28" s="586"/>
      <c r="G28" s="587"/>
      <c r="H28" s="196">
        <f>SUM(H13:H27)</f>
        <v>11095599</v>
      </c>
      <c r="I28" s="197">
        <f>SUM(I13:I27)</f>
        <v>0.2802</v>
      </c>
      <c r="J28" s="293"/>
      <c r="K28" s="293"/>
      <c r="L28" s="21"/>
      <c r="M28" s="201"/>
      <c r="N28" s="201"/>
      <c r="O28" s="202"/>
      <c r="P28" s="225"/>
      <c r="Q28" s="225"/>
      <c r="R28" s="249"/>
    </row>
    <row r="29" spans="1:18" s="8" customFormat="1" ht="4.5" customHeight="1">
      <c r="A29" s="70"/>
      <c r="B29" s="71"/>
      <c r="C29" s="71"/>
      <c r="D29" s="71"/>
      <c r="E29" s="350"/>
      <c r="F29" s="71"/>
      <c r="G29" s="71"/>
      <c r="H29" s="72"/>
      <c r="I29" s="73"/>
      <c r="J29" s="293"/>
      <c r="K29" s="293"/>
      <c r="L29" s="21"/>
      <c r="M29" s="201"/>
      <c r="N29" s="201"/>
      <c r="O29" s="202"/>
      <c r="P29" s="225"/>
      <c r="Q29" s="225"/>
      <c r="R29" s="249"/>
    </row>
    <row r="30" spans="1:18" s="8" customFormat="1" ht="15">
      <c r="A30" s="65" t="s">
        <v>11</v>
      </c>
      <c r="B30" s="66" t="s">
        <v>496</v>
      </c>
      <c r="C30" s="62"/>
      <c r="D30" s="62"/>
      <c r="E30" s="349"/>
      <c r="F30" s="62"/>
      <c r="G30" s="62"/>
      <c r="H30" s="62"/>
      <c r="I30" s="259"/>
      <c r="J30" s="293"/>
      <c r="K30" s="293"/>
      <c r="L30" s="21"/>
      <c r="M30" s="201"/>
      <c r="N30" s="201"/>
      <c r="O30" s="202"/>
      <c r="P30" s="225"/>
      <c r="Q30" s="225"/>
      <c r="R30" s="249"/>
    </row>
    <row r="31" spans="1:18" s="8" customFormat="1" ht="14.25">
      <c r="A31" s="198" t="s">
        <v>101</v>
      </c>
      <c r="B31" s="304" t="s">
        <v>471</v>
      </c>
      <c r="C31" s="305" t="s">
        <v>424</v>
      </c>
      <c r="D31" s="283" t="s">
        <v>491</v>
      </c>
      <c r="E31" s="339" t="s">
        <v>67</v>
      </c>
      <c r="F31" s="201">
        <v>27</v>
      </c>
      <c r="G31" s="276">
        <v>6023.61</v>
      </c>
      <c r="H31" s="202">
        <f>F31*G31</f>
        <v>162637.47</v>
      </c>
      <c r="I31" s="203">
        <f>H31/$H$223</f>
        <v>0.0041</v>
      </c>
      <c r="J31" s="293"/>
      <c r="K31" s="293"/>
      <c r="L31" s="21"/>
      <c r="M31" s="201"/>
      <c r="N31" s="201"/>
      <c r="O31" s="202"/>
      <c r="P31" s="225"/>
      <c r="Q31" s="225"/>
      <c r="R31" s="249"/>
    </row>
    <row r="32" spans="1:18" s="8" customFormat="1" ht="14.25">
      <c r="A32" s="198" t="s">
        <v>107</v>
      </c>
      <c r="B32" s="304" t="s">
        <v>472</v>
      </c>
      <c r="C32" s="305" t="s">
        <v>424</v>
      </c>
      <c r="D32" s="283" t="s">
        <v>490</v>
      </c>
      <c r="E32" s="339" t="s">
        <v>67</v>
      </c>
      <c r="F32" s="201">
        <v>27</v>
      </c>
      <c r="G32" s="276">
        <v>3730.5</v>
      </c>
      <c r="H32" s="202">
        <f>F32*G32</f>
        <v>100723.5</v>
      </c>
      <c r="I32" s="203">
        <f>H32/$H$223</f>
        <v>0.0025</v>
      </c>
      <c r="J32" s="293"/>
      <c r="K32" s="293"/>
      <c r="L32" s="21"/>
      <c r="M32" s="201"/>
      <c r="N32" s="201"/>
      <c r="O32" s="202"/>
      <c r="P32" s="225"/>
      <c r="Q32" s="225"/>
      <c r="R32" s="249"/>
    </row>
    <row r="33" spans="1:18" s="8" customFormat="1" ht="14.25">
      <c r="A33" s="198" t="s">
        <v>117</v>
      </c>
      <c r="B33" s="304" t="s">
        <v>476</v>
      </c>
      <c r="C33" s="305" t="s">
        <v>424</v>
      </c>
      <c r="D33" s="283" t="s">
        <v>492</v>
      </c>
      <c r="E33" s="339" t="s">
        <v>67</v>
      </c>
      <c r="F33" s="201">
        <v>403</v>
      </c>
      <c r="G33" s="276">
        <v>4080.09</v>
      </c>
      <c r="H33" s="202">
        <f>F33*G33</f>
        <v>1644276.27</v>
      </c>
      <c r="I33" s="203">
        <f>H33/$H$223</f>
        <v>0.0415</v>
      </c>
      <c r="J33" s="293"/>
      <c r="K33" s="293"/>
      <c r="L33" s="21"/>
      <c r="M33" s="201"/>
      <c r="N33" s="201"/>
      <c r="O33" s="202"/>
      <c r="P33" s="225"/>
      <c r="Q33" s="225"/>
      <c r="R33" s="249"/>
    </row>
    <row r="34" spans="1:18" s="8" customFormat="1" ht="14.25">
      <c r="A34" s="198" t="s">
        <v>498</v>
      </c>
      <c r="B34" s="304" t="s">
        <v>497</v>
      </c>
      <c r="C34" s="305" t="s">
        <v>424</v>
      </c>
      <c r="D34" s="309" t="s">
        <v>93</v>
      </c>
      <c r="E34" s="339" t="s">
        <v>23</v>
      </c>
      <c r="F34" s="201">
        <v>1700</v>
      </c>
      <c r="G34" s="276">
        <v>10.4</v>
      </c>
      <c r="H34" s="202">
        <f>F34*G34</f>
        <v>17680</v>
      </c>
      <c r="I34" s="203">
        <f>H34/$H$223</f>
        <v>0.0004</v>
      </c>
      <c r="J34" s="293"/>
      <c r="K34" s="293"/>
      <c r="L34" s="21"/>
      <c r="M34" s="201"/>
      <c r="N34" s="201"/>
      <c r="O34" s="202"/>
      <c r="P34" s="225"/>
      <c r="Q34" s="225"/>
      <c r="R34" s="249"/>
    </row>
    <row r="35" spans="1:18" s="8" customFormat="1" ht="18" customHeight="1">
      <c r="A35" s="582" t="s">
        <v>119</v>
      </c>
      <c r="B35" s="583"/>
      <c r="C35" s="583"/>
      <c r="D35" s="583"/>
      <c r="E35" s="583"/>
      <c r="F35" s="583"/>
      <c r="G35" s="584"/>
      <c r="H35" s="196">
        <f>SUM(H31:H34)</f>
        <v>1925317.24</v>
      </c>
      <c r="I35" s="197">
        <f>SUM(I31:I34)</f>
        <v>0.0485</v>
      </c>
      <c r="J35" s="293"/>
      <c r="K35" s="293"/>
      <c r="L35" s="21"/>
      <c r="M35" s="201"/>
      <c r="N35" s="201"/>
      <c r="O35" s="202"/>
      <c r="P35" s="225"/>
      <c r="Q35" s="225"/>
      <c r="R35" s="249"/>
    </row>
    <row r="36" spans="1:18" s="8" customFormat="1" ht="4.5" customHeight="1">
      <c r="A36" s="70"/>
      <c r="B36" s="71"/>
      <c r="C36" s="71"/>
      <c r="D36" s="71"/>
      <c r="E36" s="350"/>
      <c r="F36" s="71"/>
      <c r="G36" s="71"/>
      <c r="H36" s="72"/>
      <c r="I36" s="73"/>
      <c r="J36" s="293"/>
      <c r="K36" s="293"/>
      <c r="L36" s="21"/>
      <c r="M36" s="201"/>
      <c r="N36" s="201"/>
      <c r="O36" s="202"/>
      <c r="P36" s="225"/>
      <c r="Q36" s="225"/>
      <c r="R36" s="249"/>
    </row>
    <row r="37" spans="1:18" s="8" customFormat="1" ht="15">
      <c r="A37" s="65" t="s">
        <v>120</v>
      </c>
      <c r="B37" s="66" t="s">
        <v>482</v>
      </c>
      <c r="C37" s="62"/>
      <c r="D37" s="62"/>
      <c r="E37" s="349"/>
      <c r="F37" s="62"/>
      <c r="G37" s="62"/>
      <c r="H37" s="62"/>
      <c r="I37" s="259"/>
      <c r="J37" s="293"/>
      <c r="K37" s="293"/>
      <c r="L37" s="21"/>
      <c r="M37" s="201"/>
      <c r="N37" s="201"/>
      <c r="O37" s="202"/>
      <c r="P37" s="225"/>
      <c r="Q37" s="225"/>
      <c r="R37" s="249"/>
    </row>
    <row r="38" spans="1:18" s="8" customFormat="1" ht="14.25">
      <c r="A38" s="198" t="s">
        <v>125</v>
      </c>
      <c r="B38" s="308">
        <v>40972</v>
      </c>
      <c r="C38" s="305" t="s">
        <v>424</v>
      </c>
      <c r="D38" s="309" t="s">
        <v>483</v>
      </c>
      <c r="E38" s="340" t="s">
        <v>432</v>
      </c>
      <c r="F38" s="310">
        <v>0.1528</v>
      </c>
      <c r="G38" s="276">
        <f>H35</f>
        <v>1925317.24</v>
      </c>
      <c r="H38" s="311">
        <f>ROUND(G38*F38,2)</f>
        <v>294188.47</v>
      </c>
      <c r="I38" s="203">
        <f>H38/$H$223</f>
        <v>0.0074</v>
      </c>
      <c r="J38" s="293"/>
      <c r="K38" s="293"/>
      <c r="L38" s="21"/>
      <c r="M38" s="201"/>
      <c r="N38" s="201"/>
      <c r="O38" s="202"/>
      <c r="P38" s="225"/>
      <c r="Q38" s="225"/>
      <c r="R38" s="249"/>
    </row>
    <row r="39" spans="1:18" s="8" customFormat="1" ht="18" customHeight="1">
      <c r="A39" s="582" t="s">
        <v>128</v>
      </c>
      <c r="B39" s="583"/>
      <c r="C39" s="583"/>
      <c r="D39" s="583"/>
      <c r="E39" s="583"/>
      <c r="F39" s="583"/>
      <c r="G39" s="584"/>
      <c r="H39" s="196">
        <f>SUM(H38)</f>
        <v>294188.47</v>
      </c>
      <c r="I39" s="197">
        <f>SUM(I38)</f>
        <v>0.0074</v>
      </c>
      <c r="J39" s="293"/>
      <c r="K39" s="293"/>
      <c r="L39" s="21"/>
      <c r="M39" s="201"/>
      <c r="N39" s="201"/>
      <c r="O39" s="202"/>
      <c r="P39" s="225"/>
      <c r="Q39" s="225"/>
      <c r="R39" s="249"/>
    </row>
    <row r="40" spans="1:18" s="8" customFormat="1" ht="4.5" customHeight="1">
      <c r="A40" s="70"/>
      <c r="B40" s="71"/>
      <c r="C40" s="71"/>
      <c r="D40" s="71"/>
      <c r="E40" s="350"/>
      <c r="F40" s="71"/>
      <c r="G40" s="71"/>
      <c r="H40" s="72"/>
      <c r="I40" s="73"/>
      <c r="J40" s="293"/>
      <c r="K40" s="293"/>
      <c r="L40" s="21"/>
      <c r="M40" s="201"/>
      <c r="N40" s="201"/>
      <c r="O40" s="202"/>
      <c r="P40" s="225"/>
      <c r="Q40" s="225"/>
      <c r="R40" s="249"/>
    </row>
    <row r="41" spans="1:18" s="8" customFormat="1" ht="15">
      <c r="A41" s="65" t="s">
        <v>129</v>
      </c>
      <c r="B41" s="66" t="s">
        <v>784</v>
      </c>
      <c r="C41" s="62"/>
      <c r="D41" s="62"/>
      <c r="E41" s="349"/>
      <c r="F41" s="62"/>
      <c r="G41" s="62"/>
      <c r="H41" s="62"/>
      <c r="I41" s="259"/>
      <c r="J41" s="293"/>
      <c r="K41" s="293"/>
      <c r="L41" s="21"/>
      <c r="M41" s="201"/>
      <c r="N41" s="201"/>
      <c r="O41" s="202"/>
      <c r="P41" s="225"/>
      <c r="Q41" s="225"/>
      <c r="R41" s="249"/>
    </row>
    <row r="42" spans="1:18" s="8" customFormat="1" ht="25.5">
      <c r="A42" s="198" t="s">
        <v>135</v>
      </c>
      <c r="B42" s="195">
        <v>60021</v>
      </c>
      <c r="C42" s="305" t="s">
        <v>424</v>
      </c>
      <c r="D42" s="199" t="s">
        <v>707</v>
      </c>
      <c r="E42" s="339" t="s">
        <v>67</v>
      </c>
      <c r="F42" s="201">
        <v>25000</v>
      </c>
      <c r="G42" s="276">
        <v>8.86</v>
      </c>
      <c r="H42" s="202">
        <f>F42*G42</f>
        <v>221500</v>
      </c>
      <c r="I42" s="203">
        <f>H42/$H$223</f>
        <v>0.0056</v>
      </c>
      <c r="J42" s="293"/>
      <c r="K42" s="293"/>
      <c r="L42" s="21"/>
      <c r="M42" s="201"/>
      <c r="N42" s="201"/>
      <c r="O42" s="202"/>
      <c r="P42" s="225"/>
      <c r="Q42" s="225"/>
      <c r="R42" s="249"/>
    </row>
    <row r="43" spans="1:18" s="8" customFormat="1" ht="25.5">
      <c r="A43" s="198" t="s">
        <v>136</v>
      </c>
      <c r="B43" s="195">
        <v>60024</v>
      </c>
      <c r="C43" s="305" t="s">
        <v>424</v>
      </c>
      <c r="D43" s="283" t="s">
        <v>706</v>
      </c>
      <c r="E43" s="339" t="s">
        <v>67</v>
      </c>
      <c r="F43" s="201">
        <v>2400</v>
      </c>
      <c r="G43" s="276">
        <v>19.6</v>
      </c>
      <c r="H43" s="202">
        <f>F43*G43</f>
        <v>47040</v>
      </c>
      <c r="I43" s="203">
        <f>H43/$H$223</f>
        <v>0.0012</v>
      </c>
      <c r="J43" s="293"/>
      <c r="K43" s="293"/>
      <c r="L43" s="21"/>
      <c r="M43" s="201"/>
      <c r="N43" s="201"/>
      <c r="O43" s="202"/>
      <c r="P43" s="225"/>
      <c r="Q43" s="225"/>
      <c r="R43" s="249"/>
    </row>
    <row r="44" spans="1:18" s="8" customFormat="1" ht="25.5">
      <c r="A44" s="198" t="s">
        <v>137</v>
      </c>
      <c r="B44" s="195">
        <v>60024</v>
      </c>
      <c r="C44" s="305" t="s">
        <v>424</v>
      </c>
      <c r="D44" s="283" t="s">
        <v>705</v>
      </c>
      <c r="E44" s="339" t="s">
        <v>67</v>
      </c>
      <c r="F44" s="201">
        <v>22340</v>
      </c>
      <c r="G44" s="276">
        <v>19.6</v>
      </c>
      <c r="H44" s="202">
        <f>F44*G44</f>
        <v>437864</v>
      </c>
      <c r="I44" s="203">
        <f>H44/$H$223</f>
        <v>0.0111</v>
      </c>
      <c r="J44" s="293"/>
      <c r="K44" s="293"/>
      <c r="L44" s="21"/>
      <c r="M44" s="201"/>
      <c r="N44" s="201"/>
      <c r="O44" s="202"/>
      <c r="P44" s="225"/>
      <c r="Q44" s="225"/>
      <c r="R44" s="249"/>
    </row>
    <row r="45" spans="1:18" s="8" customFormat="1" ht="12" customHeight="1">
      <c r="A45" s="198" t="s">
        <v>138</v>
      </c>
      <c r="B45" s="195">
        <v>60006</v>
      </c>
      <c r="C45" s="305" t="s">
        <v>424</v>
      </c>
      <c r="D45" s="278" t="s">
        <v>703</v>
      </c>
      <c r="E45" s="339" t="s">
        <v>67</v>
      </c>
      <c r="F45" s="201">
        <v>4600</v>
      </c>
      <c r="G45" s="276">
        <v>77.14</v>
      </c>
      <c r="H45" s="202">
        <f>F45*G45</f>
        <v>354844</v>
      </c>
      <c r="I45" s="203">
        <f>H45/$H$223</f>
        <v>0.009</v>
      </c>
      <c r="J45" s="293"/>
      <c r="K45" s="293"/>
      <c r="L45" s="21"/>
      <c r="M45" s="201"/>
      <c r="N45" s="201"/>
      <c r="O45" s="202"/>
      <c r="P45" s="225"/>
      <c r="Q45" s="225"/>
      <c r="R45" s="249"/>
    </row>
    <row r="46" spans="1:18" s="8" customFormat="1" ht="25.5">
      <c r="A46" s="198" t="s">
        <v>139</v>
      </c>
      <c r="B46" s="195">
        <v>100849</v>
      </c>
      <c r="C46" s="305" t="s">
        <v>424</v>
      </c>
      <c r="D46" s="404" t="s">
        <v>702</v>
      </c>
      <c r="E46" s="339" t="s">
        <v>67</v>
      </c>
      <c r="F46" s="201">
        <v>457</v>
      </c>
      <c r="G46" s="276">
        <v>387.98</v>
      </c>
      <c r="H46" s="202">
        <f>F46*G46</f>
        <v>177306.86</v>
      </c>
      <c r="I46" s="203">
        <f>H46/$H$223</f>
        <v>0.0045</v>
      </c>
      <c r="J46" s="293"/>
      <c r="K46" s="293"/>
      <c r="L46" s="21"/>
      <c r="M46" s="201"/>
      <c r="N46" s="201"/>
      <c r="O46" s="202"/>
      <c r="P46" s="225"/>
      <c r="Q46" s="225"/>
      <c r="R46" s="249"/>
    </row>
    <row r="47" spans="1:18" s="8" customFormat="1" ht="18" customHeight="1">
      <c r="A47" s="582" t="s">
        <v>140</v>
      </c>
      <c r="B47" s="583"/>
      <c r="C47" s="583"/>
      <c r="D47" s="583"/>
      <c r="E47" s="583"/>
      <c r="F47" s="583"/>
      <c r="G47" s="584"/>
      <c r="H47" s="196">
        <f>SUM(H42:H46)</f>
        <v>1238554.86</v>
      </c>
      <c r="I47" s="197">
        <f>SUM(I42:I46)</f>
        <v>0.0314</v>
      </c>
      <c r="J47" s="295"/>
      <c r="K47" s="295"/>
      <c r="L47" s="20"/>
      <c r="M47" s="201"/>
      <c r="N47" s="201"/>
      <c r="O47" s="202">
        <f aca="true" t="shared" si="4" ref="O47:O55">N47*1.0875</f>
        <v>0</v>
      </c>
      <c r="P47" s="225"/>
      <c r="Q47" s="225">
        <f aca="true" t="shared" si="5" ref="Q47:Q55">P47*1.1735</f>
        <v>0</v>
      </c>
      <c r="R47" s="249">
        <f aca="true" t="shared" si="6" ref="R47:R55">(M47+O47+Q47)*1.2332</f>
        <v>0</v>
      </c>
    </row>
    <row r="48" spans="1:18" s="8" customFormat="1" ht="4.5" customHeight="1">
      <c r="A48" s="70"/>
      <c r="B48" s="71"/>
      <c r="C48" s="71"/>
      <c r="D48" s="71"/>
      <c r="E48" s="350"/>
      <c r="F48" s="71"/>
      <c r="G48" s="71"/>
      <c r="H48" s="72"/>
      <c r="I48" s="73"/>
      <c r="J48" s="295"/>
      <c r="K48" s="295"/>
      <c r="L48" s="20"/>
      <c r="M48" s="201"/>
      <c r="N48" s="201"/>
      <c r="O48" s="202">
        <f t="shared" si="4"/>
        <v>0</v>
      </c>
      <c r="P48" s="225"/>
      <c r="Q48" s="225">
        <f t="shared" si="5"/>
        <v>0</v>
      </c>
      <c r="R48" s="249">
        <f t="shared" si="6"/>
        <v>0</v>
      </c>
    </row>
    <row r="49" spans="1:18" s="8" customFormat="1" ht="18" customHeight="1">
      <c r="A49" s="64">
        <v>5</v>
      </c>
      <c r="B49" s="63" t="s">
        <v>789</v>
      </c>
      <c r="C49" s="61"/>
      <c r="D49" s="61"/>
      <c r="E49" s="351"/>
      <c r="F49" s="61"/>
      <c r="G49" s="61"/>
      <c r="H49" s="61"/>
      <c r="I49" s="260"/>
      <c r="J49" s="296"/>
      <c r="K49" s="296"/>
      <c r="L49" s="20"/>
      <c r="M49" s="201"/>
      <c r="N49" s="201"/>
      <c r="O49" s="202">
        <f t="shared" si="4"/>
        <v>0</v>
      </c>
      <c r="P49" s="225"/>
      <c r="Q49" s="225">
        <f t="shared" si="5"/>
        <v>0</v>
      </c>
      <c r="R49" s="249">
        <f t="shared" si="6"/>
        <v>0</v>
      </c>
    </row>
    <row r="50" spans="1:18" s="8" customFormat="1" ht="18" customHeight="1">
      <c r="A50" s="65" t="s">
        <v>144</v>
      </c>
      <c r="B50" s="66" t="s">
        <v>102</v>
      </c>
      <c r="C50" s="62"/>
      <c r="D50" s="62"/>
      <c r="E50" s="349"/>
      <c r="F50" s="62"/>
      <c r="G50" s="62">
        <f>R50</f>
        <v>0</v>
      </c>
      <c r="H50" s="62">
        <f aca="true" t="shared" si="7" ref="H50:H60">F50*G50</f>
        <v>0</v>
      </c>
      <c r="I50" s="259">
        <f aca="true" t="shared" si="8" ref="I50:I60">H50/$H$223</f>
        <v>0</v>
      </c>
      <c r="J50" s="287"/>
      <c r="K50" s="287"/>
      <c r="L50" s="21"/>
      <c r="M50" s="201"/>
      <c r="N50" s="201"/>
      <c r="O50" s="202">
        <f t="shared" si="4"/>
        <v>0</v>
      </c>
      <c r="P50" s="225"/>
      <c r="Q50" s="225">
        <f t="shared" si="5"/>
        <v>0</v>
      </c>
      <c r="R50" s="249">
        <f t="shared" si="6"/>
        <v>0</v>
      </c>
    </row>
    <row r="51" spans="1:18" s="8" customFormat="1" ht="12" customHeight="1">
      <c r="A51" s="198" t="s">
        <v>545</v>
      </c>
      <c r="B51" s="204">
        <v>40893</v>
      </c>
      <c r="C51" s="271" t="s">
        <v>85</v>
      </c>
      <c r="D51" s="199" t="s">
        <v>103</v>
      </c>
      <c r="E51" s="339" t="s">
        <v>104</v>
      </c>
      <c r="F51" s="201">
        <v>2000</v>
      </c>
      <c r="G51" s="276">
        <v>26.97</v>
      </c>
      <c r="H51" s="202">
        <f t="shared" si="7"/>
        <v>53940</v>
      </c>
      <c r="I51" s="220">
        <f t="shared" si="8"/>
        <v>0.0014</v>
      </c>
      <c r="J51" s="294"/>
      <c r="K51" s="294"/>
      <c r="M51" s="201"/>
      <c r="N51" s="201"/>
      <c r="O51" s="202">
        <f t="shared" si="4"/>
        <v>0</v>
      </c>
      <c r="P51" s="225">
        <v>23.8</v>
      </c>
      <c r="Q51" s="225">
        <f t="shared" si="5"/>
        <v>27.93</v>
      </c>
      <c r="R51" s="248">
        <f t="shared" si="6"/>
        <v>34.44</v>
      </c>
    </row>
    <row r="52" spans="1:18" s="8" customFormat="1" ht="12" customHeight="1">
      <c r="A52" s="198" t="s">
        <v>546</v>
      </c>
      <c r="B52" s="306">
        <v>40090</v>
      </c>
      <c r="C52" s="271" t="s">
        <v>85</v>
      </c>
      <c r="D52" s="199" t="s">
        <v>105</v>
      </c>
      <c r="E52" s="339" t="s">
        <v>104</v>
      </c>
      <c r="F52" s="201">
        <v>6000</v>
      </c>
      <c r="G52" s="276">
        <v>38.26</v>
      </c>
      <c r="H52" s="202">
        <f t="shared" si="7"/>
        <v>229560</v>
      </c>
      <c r="I52" s="203">
        <f t="shared" si="8"/>
        <v>0.0058</v>
      </c>
      <c r="J52" s="293"/>
      <c r="K52" s="293"/>
      <c r="L52" s="22"/>
      <c r="M52" s="226"/>
      <c r="N52" s="226"/>
      <c r="O52" s="202">
        <f t="shared" si="4"/>
        <v>0</v>
      </c>
      <c r="P52" s="225"/>
      <c r="Q52" s="225">
        <f t="shared" si="5"/>
        <v>0</v>
      </c>
      <c r="R52" s="249">
        <f t="shared" si="6"/>
        <v>0</v>
      </c>
    </row>
    <row r="53" spans="1:18" s="8" customFormat="1" ht="25.5">
      <c r="A53" s="198" t="s">
        <v>547</v>
      </c>
      <c r="B53" s="204" t="s">
        <v>500</v>
      </c>
      <c r="C53" s="271" t="s">
        <v>85</v>
      </c>
      <c r="D53" s="283" t="s">
        <v>499</v>
      </c>
      <c r="E53" s="339" t="s">
        <v>104</v>
      </c>
      <c r="F53" s="201">
        <v>8000</v>
      </c>
      <c r="G53" s="276">
        <v>72.32</v>
      </c>
      <c r="H53" s="202">
        <f t="shared" si="7"/>
        <v>578560</v>
      </c>
      <c r="I53" s="203">
        <f t="shared" si="8"/>
        <v>0.0146</v>
      </c>
      <c r="J53" s="293"/>
      <c r="K53" s="293"/>
      <c r="L53" s="22"/>
      <c r="M53" s="226"/>
      <c r="N53" s="226"/>
      <c r="O53" s="202">
        <f t="shared" si="4"/>
        <v>0</v>
      </c>
      <c r="P53" s="225"/>
      <c r="Q53" s="225">
        <f t="shared" si="5"/>
        <v>0</v>
      </c>
      <c r="R53" s="249">
        <f t="shared" si="6"/>
        <v>0</v>
      </c>
    </row>
    <row r="54" spans="1:18" s="8" customFormat="1" ht="12" customHeight="1">
      <c r="A54" s="198" t="s">
        <v>548</v>
      </c>
      <c r="B54" s="204" t="s">
        <v>501</v>
      </c>
      <c r="C54" s="271" t="s">
        <v>85</v>
      </c>
      <c r="D54" s="278" t="s">
        <v>106</v>
      </c>
      <c r="E54" s="339" t="s">
        <v>104</v>
      </c>
      <c r="F54" s="201">
        <v>1000</v>
      </c>
      <c r="G54" s="276">
        <v>50.85</v>
      </c>
      <c r="H54" s="202">
        <f t="shared" si="7"/>
        <v>50850</v>
      </c>
      <c r="I54" s="203">
        <f t="shared" si="8"/>
        <v>0.0013</v>
      </c>
      <c r="J54" s="293"/>
      <c r="K54" s="293"/>
      <c r="L54" s="22"/>
      <c r="M54" s="226"/>
      <c r="N54" s="226"/>
      <c r="O54" s="202">
        <f t="shared" si="4"/>
        <v>0</v>
      </c>
      <c r="P54" s="225"/>
      <c r="Q54" s="225">
        <f t="shared" si="5"/>
        <v>0</v>
      </c>
      <c r="R54" s="249">
        <f t="shared" si="6"/>
        <v>0</v>
      </c>
    </row>
    <row r="55" spans="1:18" s="8" customFormat="1" ht="25.5">
      <c r="A55" s="198" t="s">
        <v>549</v>
      </c>
      <c r="B55" s="204" t="s">
        <v>503</v>
      </c>
      <c r="C55" s="271" t="s">
        <v>85</v>
      </c>
      <c r="D55" s="283" t="s">
        <v>502</v>
      </c>
      <c r="E55" s="339" t="s">
        <v>104</v>
      </c>
      <c r="F55" s="201">
        <v>2000</v>
      </c>
      <c r="G55" s="276">
        <v>105.83</v>
      </c>
      <c r="H55" s="202">
        <f t="shared" si="7"/>
        <v>211660</v>
      </c>
      <c r="I55" s="203">
        <f t="shared" si="8"/>
        <v>0.0053</v>
      </c>
      <c r="J55" s="293"/>
      <c r="K55" s="293"/>
      <c r="L55" s="22"/>
      <c r="M55" s="226"/>
      <c r="N55" s="226"/>
      <c r="O55" s="202">
        <f t="shared" si="4"/>
        <v>0</v>
      </c>
      <c r="P55" s="225"/>
      <c r="Q55" s="225">
        <f t="shared" si="5"/>
        <v>0</v>
      </c>
      <c r="R55" s="249">
        <f t="shared" si="6"/>
        <v>0</v>
      </c>
    </row>
    <row r="56" spans="1:18" s="8" customFormat="1" ht="12" customHeight="1">
      <c r="A56" s="198" t="s">
        <v>550</v>
      </c>
      <c r="B56" s="312" t="s">
        <v>469</v>
      </c>
      <c r="C56" s="305" t="s">
        <v>424</v>
      </c>
      <c r="D56" s="283" t="s">
        <v>470</v>
      </c>
      <c r="E56" s="339" t="s">
        <v>104</v>
      </c>
      <c r="F56" s="201">
        <v>2000</v>
      </c>
      <c r="G56" s="276">
        <v>71.4</v>
      </c>
      <c r="H56" s="202">
        <f t="shared" si="7"/>
        <v>142800</v>
      </c>
      <c r="I56" s="203">
        <f t="shared" si="8"/>
        <v>0.0036</v>
      </c>
      <c r="J56" s="293"/>
      <c r="K56" s="293"/>
      <c r="L56" s="22"/>
      <c r="M56" s="226"/>
      <c r="N56" s="226"/>
      <c r="O56" s="202"/>
      <c r="P56" s="225"/>
      <c r="Q56" s="225"/>
      <c r="R56" s="249"/>
    </row>
    <row r="57" spans="1:18" s="8" customFormat="1" ht="14.25">
      <c r="A57" s="198" t="s">
        <v>551</v>
      </c>
      <c r="B57" s="312" t="s">
        <v>458</v>
      </c>
      <c r="C57" s="305" t="s">
        <v>424</v>
      </c>
      <c r="D57" s="283" t="s">
        <v>454</v>
      </c>
      <c r="E57" s="339" t="s">
        <v>450</v>
      </c>
      <c r="F57" s="201">
        <v>6000</v>
      </c>
      <c r="G57" s="276">
        <v>6.54</v>
      </c>
      <c r="H57" s="202">
        <f t="shared" si="7"/>
        <v>39240</v>
      </c>
      <c r="I57" s="203">
        <f t="shared" si="8"/>
        <v>0.001</v>
      </c>
      <c r="J57" s="293"/>
      <c r="K57" s="293"/>
      <c r="L57" s="21"/>
      <c r="M57" s="201"/>
      <c r="N57" s="201"/>
      <c r="O57" s="202"/>
      <c r="P57" s="225"/>
      <c r="Q57" s="225"/>
      <c r="R57" s="249"/>
    </row>
    <row r="58" spans="1:18" s="8" customFormat="1" ht="14.25">
      <c r="A58" s="198" t="s">
        <v>552</v>
      </c>
      <c r="B58" s="312" t="s">
        <v>463</v>
      </c>
      <c r="C58" s="305" t="s">
        <v>424</v>
      </c>
      <c r="D58" s="283" t="s">
        <v>464</v>
      </c>
      <c r="E58" s="339" t="s">
        <v>104</v>
      </c>
      <c r="F58" s="201">
        <v>100</v>
      </c>
      <c r="G58" s="276">
        <v>454.56</v>
      </c>
      <c r="H58" s="202">
        <f t="shared" si="7"/>
        <v>45456</v>
      </c>
      <c r="I58" s="203">
        <f t="shared" si="8"/>
        <v>0.0011</v>
      </c>
      <c r="J58" s="293"/>
      <c r="K58" s="293"/>
      <c r="L58" s="21"/>
      <c r="M58" s="201"/>
      <c r="N58" s="201"/>
      <c r="O58" s="202"/>
      <c r="P58" s="225"/>
      <c r="Q58" s="225"/>
      <c r="R58" s="249"/>
    </row>
    <row r="59" spans="1:18" s="8" customFormat="1" ht="12" customHeight="1">
      <c r="A59" s="198" t="s">
        <v>553</v>
      </c>
      <c r="B59" s="312" t="s">
        <v>465</v>
      </c>
      <c r="C59" s="305" t="s">
        <v>424</v>
      </c>
      <c r="D59" s="283" t="s">
        <v>466</v>
      </c>
      <c r="E59" s="339" t="s">
        <v>438</v>
      </c>
      <c r="F59" s="201">
        <v>10</v>
      </c>
      <c r="G59" s="276">
        <v>711.37</v>
      </c>
      <c r="H59" s="202">
        <f t="shared" si="7"/>
        <v>7113.7</v>
      </c>
      <c r="I59" s="203">
        <f t="shared" si="8"/>
        <v>0.0002</v>
      </c>
      <c r="J59" s="293"/>
      <c r="K59" s="293"/>
      <c r="L59" s="21"/>
      <c r="M59" s="201"/>
      <c r="N59" s="201"/>
      <c r="O59" s="202"/>
      <c r="P59" s="225"/>
      <c r="Q59" s="225"/>
      <c r="R59" s="249"/>
    </row>
    <row r="60" spans="1:18" s="8" customFormat="1" ht="12" customHeight="1">
      <c r="A60" s="198" t="s">
        <v>554</v>
      </c>
      <c r="B60" s="312" t="s">
        <v>467</v>
      </c>
      <c r="C60" s="305" t="s">
        <v>424</v>
      </c>
      <c r="D60" s="283" t="s">
        <v>468</v>
      </c>
      <c r="E60" s="339" t="s">
        <v>438</v>
      </c>
      <c r="F60" s="201">
        <v>10</v>
      </c>
      <c r="G60" s="276">
        <v>5279.87</v>
      </c>
      <c r="H60" s="202">
        <f t="shared" si="7"/>
        <v>52798.7</v>
      </c>
      <c r="I60" s="203">
        <f t="shared" si="8"/>
        <v>0.0013</v>
      </c>
      <c r="J60" s="293"/>
      <c r="K60" s="293"/>
      <c r="L60" s="21"/>
      <c r="M60" s="201"/>
      <c r="N60" s="201"/>
      <c r="O60" s="202"/>
      <c r="P60" s="225"/>
      <c r="Q60" s="225"/>
      <c r="R60" s="249"/>
    </row>
    <row r="61" spans="1:18" s="8" customFormat="1" ht="18" customHeight="1">
      <c r="A61" s="582" t="s">
        <v>589</v>
      </c>
      <c r="B61" s="583"/>
      <c r="C61" s="583"/>
      <c r="D61" s="583"/>
      <c r="E61" s="583"/>
      <c r="F61" s="583"/>
      <c r="G61" s="584"/>
      <c r="H61" s="196">
        <f>SUM(H51:H60)</f>
        <v>1411978.4</v>
      </c>
      <c r="I61" s="197">
        <f>SUM(I51:I60)</f>
        <v>0.0356</v>
      </c>
      <c r="J61" s="293"/>
      <c r="K61" s="293"/>
      <c r="L61" s="21"/>
      <c r="M61" s="201"/>
      <c r="N61" s="201"/>
      <c r="O61" s="202"/>
      <c r="P61" s="225"/>
      <c r="Q61" s="225"/>
      <c r="R61" s="249"/>
    </row>
    <row r="62" spans="1:18" s="8" customFormat="1" ht="4.5" customHeight="1">
      <c r="A62" s="70"/>
      <c r="B62" s="71"/>
      <c r="C62" s="71"/>
      <c r="D62" s="71"/>
      <c r="E62" s="350"/>
      <c r="F62" s="71"/>
      <c r="G62" s="71"/>
      <c r="H62" s="72"/>
      <c r="I62" s="73"/>
      <c r="J62" s="293"/>
      <c r="K62" s="293"/>
      <c r="L62" s="21"/>
      <c r="M62" s="201"/>
      <c r="N62" s="201"/>
      <c r="O62" s="202"/>
      <c r="P62" s="225"/>
      <c r="Q62" s="225"/>
      <c r="R62" s="249"/>
    </row>
    <row r="63" spans="1:18" s="8" customFormat="1" ht="18" customHeight="1">
      <c r="A63" s="210" t="s">
        <v>145</v>
      </c>
      <c r="B63" s="211" t="s">
        <v>108</v>
      </c>
      <c r="C63" s="211"/>
      <c r="D63" s="212"/>
      <c r="E63" s="341"/>
      <c r="F63" s="213"/>
      <c r="G63" s="213"/>
      <c r="H63" s="214"/>
      <c r="I63" s="215"/>
      <c r="J63" s="297"/>
      <c r="K63" s="297"/>
      <c r="L63" s="22"/>
      <c r="M63" s="226"/>
      <c r="N63" s="226"/>
      <c r="O63" s="202">
        <f>N63*1.0875</f>
        <v>0</v>
      </c>
      <c r="P63" s="225"/>
      <c r="Q63" s="225">
        <f>P63*1.1735</f>
        <v>0</v>
      </c>
      <c r="R63" s="249">
        <f>(M63+O63+Q63)*1.2332</f>
        <v>0</v>
      </c>
    </row>
    <row r="64" spans="1:18" s="8" customFormat="1" ht="25.5">
      <c r="A64" s="198" t="s">
        <v>555</v>
      </c>
      <c r="B64" s="312" t="s">
        <v>435</v>
      </c>
      <c r="C64" s="312" t="s">
        <v>85</v>
      </c>
      <c r="D64" s="283" t="s">
        <v>436</v>
      </c>
      <c r="E64" s="339" t="s">
        <v>104</v>
      </c>
      <c r="F64" s="201">
        <v>800</v>
      </c>
      <c r="G64" s="276">
        <v>147.63</v>
      </c>
      <c r="H64" s="202">
        <f aca="true" t="shared" si="9" ref="H64:H107">F64*G64</f>
        <v>118104</v>
      </c>
      <c r="I64" s="203">
        <f aca="true" t="shared" si="10" ref="I64:I108">H64/$H$223</f>
        <v>0.003</v>
      </c>
      <c r="J64" s="297"/>
      <c r="K64" s="297"/>
      <c r="L64" s="22"/>
      <c r="M64" s="226"/>
      <c r="N64" s="226"/>
      <c r="O64" s="202"/>
      <c r="P64" s="225"/>
      <c r="Q64" s="225"/>
      <c r="R64" s="249"/>
    </row>
    <row r="65" spans="1:18" s="8" customFormat="1" ht="25.5">
      <c r="A65" s="198" t="s">
        <v>556</v>
      </c>
      <c r="B65" s="312" t="s">
        <v>510</v>
      </c>
      <c r="C65" s="195" t="s">
        <v>424</v>
      </c>
      <c r="D65" s="283" t="s">
        <v>504</v>
      </c>
      <c r="E65" s="342" t="s">
        <v>104</v>
      </c>
      <c r="F65" s="201">
        <v>400</v>
      </c>
      <c r="G65" s="276">
        <v>233.35</v>
      </c>
      <c r="H65" s="202">
        <f t="shared" si="9"/>
        <v>93340</v>
      </c>
      <c r="I65" s="203">
        <f t="shared" si="10"/>
        <v>0.0024</v>
      </c>
      <c r="J65" s="293"/>
      <c r="K65" s="293"/>
      <c r="L65" s="22"/>
      <c r="M65" s="226"/>
      <c r="N65" s="226"/>
      <c r="O65" s="202">
        <f>N65*1.0875</f>
        <v>0</v>
      </c>
      <c r="P65" s="225"/>
      <c r="Q65" s="225">
        <f>P65*1.1735</f>
        <v>0</v>
      </c>
      <c r="R65" s="249">
        <f>(M65+O65+Q65)*1.2332</f>
        <v>0</v>
      </c>
    </row>
    <row r="66" spans="1:18" s="8" customFormat="1" ht="25.5">
      <c r="A66" s="198" t="s">
        <v>557</v>
      </c>
      <c r="B66" s="312" t="s">
        <v>509</v>
      </c>
      <c r="C66" s="195" t="s">
        <v>424</v>
      </c>
      <c r="D66" s="283" t="s">
        <v>505</v>
      </c>
      <c r="E66" s="342" t="s">
        <v>104</v>
      </c>
      <c r="F66" s="201">
        <v>600</v>
      </c>
      <c r="G66" s="276">
        <v>363.68</v>
      </c>
      <c r="H66" s="202">
        <f t="shared" si="9"/>
        <v>218208</v>
      </c>
      <c r="I66" s="203">
        <f t="shared" si="10"/>
        <v>0.0055</v>
      </c>
      <c r="J66" s="293"/>
      <c r="K66" s="293"/>
      <c r="L66" s="22"/>
      <c r="M66" s="226"/>
      <c r="N66" s="226"/>
      <c r="O66" s="202">
        <f>N66*1.0875</f>
        <v>0</v>
      </c>
      <c r="P66" s="225"/>
      <c r="Q66" s="225">
        <f>P66*1.1735</f>
        <v>0</v>
      </c>
      <c r="R66" s="249">
        <f>(M66+O66+Q66)*1.2332</f>
        <v>0</v>
      </c>
    </row>
    <row r="67" spans="1:18" s="8" customFormat="1" ht="25.5">
      <c r="A67" s="198" t="s">
        <v>558</v>
      </c>
      <c r="B67" s="312" t="s">
        <v>508</v>
      </c>
      <c r="C67" s="195" t="s">
        <v>424</v>
      </c>
      <c r="D67" s="283" t="s">
        <v>506</v>
      </c>
      <c r="E67" s="342" t="s">
        <v>104</v>
      </c>
      <c r="F67" s="201">
        <v>200</v>
      </c>
      <c r="G67" s="276">
        <v>736.12</v>
      </c>
      <c r="H67" s="202">
        <f t="shared" si="9"/>
        <v>147224</v>
      </c>
      <c r="I67" s="203">
        <f t="shared" si="10"/>
        <v>0.0037</v>
      </c>
      <c r="J67" s="293"/>
      <c r="K67" s="293"/>
      <c r="L67" s="22"/>
      <c r="M67" s="226"/>
      <c r="N67" s="226"/>
      <c r="O67" s="202">
        <f>N67*1.0875</f>
        <v>0</v>
      </c>
      <c r="P67" s="225"/>
      <c r="Q67" s="225">
        <f>P67*1.1735</f>
        <v>0</v>
      </c>
      <c r="R67" s="249">
        <f>(M67+O67+Q67)*1.2332</f>
        <v>0</v>
      </c>
    </row>
    <row r="68" spans="1:18" s="8" customFormat="1" ht="25.5">
      <c r="A68" s="198" t="s">
        <v>559</v>
      </c>
      <c r="B68" s="312">
        <v>42771</v>
      </c>
      <c r="C68" s="204" t="s">
        <v>85</v>
      </c>
      <c r="D68" s="283" t="s">
        <v>507</v>
      </c>
      <c r="E68" s="342" t="s">
        <v>104</v>
      </c>
      <c r="F68" s="201">
        <v>200</v>
      </c>
      <c r="G68" s="276">
        <v>963.49</v>
      </c>
      <c r="H68" s="202">
        <f t="shared" si="9"/>
        <v>192698</v>
      </c>
      <c r="I68" s="203">
        <f t="shared" si="10"/>
        <v>0.0049</v>
      </c>
      <c r="J68" s="293"/>
      <c r="K68" s="293"/>
      <c r="L68" s="22"/>
      <c r="M68" s="226"/>
      <c r="N68" s="226"/>
      <c r="O68" s="202"/>
      <c r="P68" s="225"/>
      <c r="Q68" s="225"/>
      <c r="R68" s="249"/>
    </row>
    <row r="69" spans="1:18" s="8" customFormat="1" ht="25.5">
      <c r="A69" s="198" t="s">
        <v>560</v>
      </c>
      <c r="B69" s="306">
        <v>42775</v>
      </c>
      <c r="C69" s="331" t="s">
        <v>85</v>
      </c>
      <c r="D69" s="356" t="s">
        <v>591</v>
      </c>
      <c r="E69" s="343" t="s">
        <v>104</v>
      </c>
      <c r="F69" s="332">
        <v>200</v>
      </c>
      <c r="G69" s="276">
        <v>1302.5</v>
      </c>
      <c r="H69" s="202">
        <f t="shared" si="9"/>
        <v>260500</v>
      </c>
      <c r="I69" s="203">
        <f t="shared" si="10"/>
        <v>0.0066</v>
      </c>
      <c r="J69" s="293"/>
      <c r="K69" s="293"/>
      <c r="L69" s="22"/>
      <c r="M69" s="226"/>
      <c r="N69" s="226"/>
      <c r="O69" s="202"/>
      <c r="P69" s="225"/>
      <c r="Q69" s="225"/>
      <c r="R69" s="249"/>
    </row>
    <row r="70" spans="1:18" s="8" customFormat="1" ht="25.5">
      <c r="A70" s="198" t="s">
        <v>561</v>
      </c>
      <c r="B70" s="313">
        <v>41155</v>
      </c>
      <c r="C70" s="204" t="s">
        <v>85</v>
      </c>
      <c r="D70" s="333" t="s">
        <v>661</v>
      </c>
      <c r="E70" s="342" t="s">
        <v>104</v>
      </c>
      <c r="F70" s="201">
        <v>30</v>
      </c>
      <c r="G70" s="276">
        <v>6717.08</v>
      </c>
      <c r="H70" s="202">
        <f t="shared" si="9"/>
        <v>201512.4</v>
      </c>
      <c r="I70" s="203">
        <f t="shared" si="10"/>
        <v>0.0051</v>
      </c>
      <c r="J70" s="293"/>
      <c r="K70" s="293"/>
      <c r="L70" s="22"/>
      <c r="M70" s="226"/>
      <c r="N70" s="226"/>
      <c r="O70" s="202"/>
      <c r="P70" s="225"/>
      <c r="Q70" s="225"/>
      <c r="R70" s="249"/>
    </row>
    <row r="71" spans="1:18" s="8" customFormat="1" ht="14.25">
      <c r="A71" s="198" t="s">
        <v>562</v>
      </c>
      <c r="B71" s="306">
        <v>40618</v>
      </c>
      <c r="C71" s="204" t="s">
        <v>85</v>
      </c>
      <c r="D71" t="s">
        <v>663</v>
      </c>
      <c r="E71" s="342" t="s">
        <v>112</v>
      </c>
      <c r="F71" s="201">
        <v>4</v>
      </c>
      <c r="G71" s="276">
        <v>52631.71</v>
      </c>
      <c r="H71" s="202">
        <f t="shared" si="9"/>
        <v>210526.84</v>
      </c>
      <c r="I71" s="203">
        <f t="shared" si="10"/>
        <v>0.0053</v>
      </c>
      <c r="J71" s="293"/>
      <c r="K71" s="293"/>
      <c r="L71" s="22"/>
      <c r="M71" s="226"/>
      <c r="N71" s="226"/>
      <c r="O71" s="202"/>
      <c r="P71" s="225"/>
      <c r="Q71" s="225"/>
      <c r="R71" s="249"/>
    </row>
    <row r="72" spans="1:18" s="8" customFormat="1" ht="14.25">
      <c r="A72" s="198" t="s">
        <v>563</v>
      </c>
      <c r="B72" s="312" t="s">
        <v>428</v>
      </c>
      <c r="C72" s="334" t="s">
        <v>113</v>
      </c>
      <c r="D72" s="283" t="s">
        <v>427</v>
      </c>
      <c r="E72" s="342" t="s">
        <v>104</v>
      </c>
      <c r="F72" s="280">
        <v>800</v>
      </c>
      <c r="G72" s="276">
        <v>729.22</v>
      </c>
      <c r="H72" s="202">
        <f t="shared" si="9"/>
        <v>583376</v>
      </c>
      <c r="I72" s="203">
        <f t="shared" si="10"/>
        <v>0.0147</v>
      </c>
      <c r="J72" s="293"/>
      <c r="K72" s="293"/>
      <c r="L72" s="22"/>
      <c r="M72" s="226"/>
      <c r="N72" s="226">
        <v>543.74</v>
      </c>
      <c r="O72" s="202">
        <f>N72*1.0875</f>
        <v>591.32</v>
      </c>
      <c r="P72" s="225"/>
      <c r="Q72" s="225">
        <f>P72*1.1735</f>
        <v>0</v>
      </c>
      <c r="R72" s="249">
        <f>(M72+O72+Q72)*1.2332</f>
        <v>729.22</v>
      </c>
    </row>
    <row r="73" spans="1:18" s="8" customFormat="1" ht="12" customHeight="1">
      <c r="A73" s="198" t="s">
        <v>564</v>
      </c>
      <c r="B73" s="306">
        <v>41172</v>
      </c>
      <c r="C73" s="271" t="s">
        <v>85</v>
      </c>
      <c r="D73" t="s">
        <v>651</v>
      </c>
      <c r="E73" s="342" t="s">
        <v>104</v>
      </c>
      <c r="F73" s="280">
        <v>800</v>
      </c>
      <c r="G73" s="276">
        <v>94.84</v>
      </c>
      <c r="H73" s="202">
        <f t="shared" si="9"/>
        <v>75872</v>
      </c>
      <c r="I73" s="203">
        <f t="shared" si="10"/>
        <v>0.0019</v>
      </c>
      <c r="J73" s="293"/>
      <c r="K73" s="293"/>
      <c r="L73" s="329"/>
      <c r="M73" s="226"/>
      <c r="N73" s="226"/>
      <c r="O73" s="202"/>
      <c r="P73" s="225"/>
      <c r="Q73" s="225"/>
      <c r="R73" s="249"/>
    </row>
    <row r="74" spans="1:18" s="8" customFormat="1" ht="12" customHeight="1">
      <c r="A74" s="198" t="s">
        <v>565</v>
      </c>
      <c r="B74" s="313">
        <v>40513</v>
      </c>
      <c r="C74" s="271" t="s">
        <v>85</v>
      </c>
      <c r="D74" s="328" t="s">
        <v>642</v>
      </c>
      <c r="E74" s="342" t="s">
        <v>104</v>
      </c>
      <c r="F74" s="280">
        <v>400</v>
      </c>
      <c r="G74" s="276">
        <v>106.93</v>
      </c>
      <c r="H74" s="202">
        <f t="shared" si="9"/>
        <v>42772</v>
      </c>
      <c r="I74" s="203">
        <f t="shared" si="10"/>
        <v>0.0011</v>
      </c>
      <c r="J74" s="293"/>
      <c r="K74" s="293"/>
      <c r="L74" s="329"/>
      <c r="M74" s="226"/>
      <c r="N74" s="226"/>
      <c r="O74" s="202"/>
      <c r="P74" s="225"/>
      <c r="Q74" s="225"/>
      <c r="R74" s="249"/>
    </row>
    <row r="75" spans="1:18" s="8" customFormat="1" ht="11.25" customHeight="1">
      <c r="A75" s="198" t="s">
        <v>566</v>
      </c>
      <c r="B75" s="313">
        <v>40514</v>
      </c>
      <c r="C75" s="271" t="s">
        <v>85</v>
      </c>
      <c r="D75" s="328" t="s">
        <v>643</v>
      </c>
      <c r="E75" s="342" t="s">
        <v>104</v>
      </c>
      <c r="F75" s="280">
        <v>600</v>
      </c>
      <c r="G75" s="276">
        <v>178.6</v>
      </c>
      <c r="H75" s="202">
        <f t="shared" si="9"/>
        <v>107160</v>
      </c>
      <c r="I75" s="203">
        <f t="shared" si="10"/>
        <v>0.0027</v>
      </c>
      <c r="J75" s="293"/>
      <c r="K75" s="293"/>
      <c r="L75" s="329"/>
      <c r="M75" s="226"/>
      <c r="N75" s="226"/>
      <c r="O75" s="202"/>
      <c r="P75" s="225"/>
      <c r="Q75" s="225"/>
      <c r="R75" s="249"/>
    </row>
    <row r="76" spans="1:18" s="8" customFormat="1" ht="12" customHeight="1">
      <c r="A76" s="198" t="s">
        <v>567</v>
      </c>
      <c r="B76" s="313">
        <v>40515</v>
      </c>
      <c r="C76" s="271" t="s">
        <v>85</v>
      </c>
      <c r="D76" s="328" t="s">
        <v>644</v>
      </c>
      <c r="E76" s="342" t="s">
        <v>104</v>
      </c>
      <c r="F76" s="280">
        <v>1000</v>
      </c>
      <c r="G76" s="276">
        <v>271.82</v>
      </c>
      <c r="H76" s="202">
        <f t="shared" si="9"/>
        <v>271820</v>
      </c>
      <c r="I76" s="203">
        <f t="shared" si="10"/>
        <v>0.0069</v>
      </c>
      <c r="J76" s="293"/>
      <c r="K76" s="293"/>
      <c r="L76" s="329"/>
      <c r="M76" s="226"/>
      <c r="N76" s="226"/>
      <c r="O76" s="202"/>
      <c r="P76" s="225"/>
      <c r="Q76" s="225"/>
      <c r="R76" s="249"/>
    </row>
    <row r="77" spans="1:18" s="8" customFormat="1" ht="12" customHeight="1">
      <c r="A77" s="198" t="s">
        <v>568</v>
      </c>
      <c r="B77" s="313">
        <v>40516</v>
      </c>
      <c r="C77" s="271" t="s">
        <v>85</v>
      </c>
      <c r="D77" s="328" t="s">
        <v>645</v>
      </c>
      <c r="E77" s="342" t="s">
        <v>104</v>
      </c>
      <c r="F77" s="280">
        <v>200</v>
      </c>
      <c r="G77" s="276">
        <v>382.99</v>
      </c>
      <c r="H77" s="202">
        <f t="shared" si="9"/>
        <v>76598</v>
      </c>
      <c r="I77" s="203">
        <f t="shared" si="10"/>
        <v>0.0019</v>
      </c>
      <c r="J77" s="293"/>
      <c r="K77" s="293"/>
      <c r="L77" s="329"/>
      <c r="M77" s="226"/>
      <c r="N77" s="226"/>
      <c r="O77" s="202"/>
      <c r="P77" s="225"/>
      <c r="Q77" s="225"/>
      <c r="R77" s="249"/>
    </row>
    <row r="78" spans="1:18" s="8" customFormat="1" ht="12" customHeight="1">
      <c r="A78" s="198" t="s">
        <v>569</v>
      </c>
      <c r="B78" s="313">
        <v>40517</v>
      </c>
      <c r="C78" s="271" t="s">
        <v>85</v>
      </c>
      <c r="D78" s="328" t="s">
        <v>646</v>
      </c>
      <c r="E78" s="342" t="s">
        <v>104</v>
      </c>
      <c r="F78" s="280">
        <v>200</v>
      </c>
      <c r="G78" s="276">
        <v>509.64</v>
      </c>
      <c r="H78" s="202">
        <f t="shared" si="9"/>
        <v>101928</v>
      </c>
      <c r="I78" s="203">
        <f t="shared" si="10"/>
        <v>0.0026</v>
      </c>
      <c r="J78" s="293"/>
      <c r="K78" s="293"/>
      <c r="L78" s="329"/>
      <c r="M78" s="226"/>
      <c r="N78" s="226"/>
      <c r="O78" s="202"/>
      <c r="P78" s="225"/>
      <c r="Q78" s="225"/>
      <c r="R78" s="249"/>
    </row>
    <row r="79" spans="1:18" s="8" customFormat="1" ht="12" customHeight="1">
      <c r="A79" s="198" t="s">
        <v>570</v>
      </c>
      <c r="B79" s="313">
        <v>40530</v>
      </c>
      <c r="C79" s="271" t="s">
        <v>85</v>
      </c>
      <c r="D79" s="328" t="s">
        <v>652</v>
      </c>
      <c r="E79" s="342" t="s">
        <v>112</v>
      </c>
      <c r="F79" s="316">
        <v>10</v>
      </c>
      <c r="G79" s="276">
        <v>1340.62</v>
      </c>
      <c r="H79" s="202">
        <f t="shared" si="9"/>
        <v>13406.2</v>
      </c>
      <c r="I79" s="203">
        <f t="shared" si="10"/>
        <v>0.0003</v>
      </c>
      <c r="J79" s="293"/>
      <c r="K79" s="293"/>
      <c r="L79" s="329"/>
      <c r="M79" s="226"/>
      <c r="N79" s="226"/>
      <c r="O79" s="202"/>
      <c r="P79" s="225"/>
      <c r="Q79" s="225"/>
      <c r="R79" s="249"/>
    </row>
    <row r="80" spans="1:18" s="8" customFormat="1" ht="12" customHeight="1">
      <c r="A80" s="198" t="s">
        <v>571</v>
      </c>
      <c r="B80" s="313">
        <v>40531</v>
      </c>
      <c r="C80" s="271" t="s">
        <v>85</v>
      </c>
      <c r="D80" s="328" t="s">
        <v>653</v>
      </c>
      <c r="E80" s="342" t="s">
        <v>112</v>
      </c>
      <c r="F80" s="330">
        <v>10</v>
      </c>
      <c r="G80" s="276">
        <v>2215.27</v>
      </c>
      <c r="H80" s="202">
        <f t="shared" si="9"/>
        <v>22152.7</v>
      </c>
      <c r="I80" s="203">
        <f t="shared" si="10"/>
        <v>0.0006</v>
      </c>
      <c r="J80" s="293"/>
      <c r="K80" s="293"/>
      <c r="L80" s="329"/>
      <c r="M80" s="226"/>
      <c r="N80" s="226"/>
      <c r="O80" s="202"/>
      <c r="P80" s="225"/>
      <c r="Q80" s="225"/>
      <c r="R80" s="249"/>
    </row>
    <row r="81" spans="1:18" s="8" customFormat="1" ht="12" customHeight="1">
      <c r="A81" s="198" t="s">
        <v>572</v>
      </c>
      <c r="B81" s="313">
        <v>40532</v>
      </c>
      <c r="C81" s="271" t="s">
        <v>85</v>
      </c>
      <c r="D81" s="328" t="s">
        <v>654</v>
      </c>
      <c r="E81" s="342" t="s">
        <v>112</v>
      </c>
      <c r="F81" s="330">
        <v>6</v>
      </c>
      <c r="G81" s="276">
        <v>3390.62</v>
      </c>
      <c r="H81" s="202">
        <f t="shared" si="9"/>
        <v>20343.72</v>
      </c>
      <c r="I81" s="203">
        <f t="shared" si="10"/>
        <v>0.0005</v>
      </c>
      <c r="J81" s="293"/>
      <c r="K81" s="293"/>
      <c r="L81" s="329"/>
      <c r="M81" s="226"/>
      <c r="N81" s="226"/>
      <c r="O81" s="202"/>
      <c r="P81" s="225"/>
      <c r="Q81" s="225"/>
      <c r="R81" s="249"/>
    </row>
    <row r="82" spans="1:18" s="8" customFormat="1" ht="12" customHeight="1">
      <c r="A82" s="198" t="s">
        <v>573</v>
      </c>
      <c r="B82" s="313">
        <v>40533</v>
      </c>
      <c r="C82" s="271" t="s">
        <v>85</v>
      </c>
      <c r="D82" s="328" t="s">
        <v>655</v>
      </c>
      <c r="E82" s="342" t="s">
        <v>112</v>
      </c>
      <c r="F82" s="330">
        <v>6</v>
      </c>
      <c r="G82" s="276">
        <v>4868.71</v>
      </c>
      <c r="H82" s="202">
        <f t="shared" si="9"/>
        <v>29212.26</v>
      </c>
      <c r="I82" s="203">
        <f t="shared" si="10"/>
        <v>0.0007</v>
      </c>
      <c r="J82" s="293"/>
      <c r="K82" s="293"/>
      <c r="L82" s="329"/>
      <c r="M82" s="226"/>
      <c r="N82" s="226"/>
      <c r="O82" s="202"/>
      <c r="P82" s="225"/>
      <c r="Q82" s="225"/>
      <c r="R82" s="249"/>
    </row>
    <row r="83" spans="1:18" s="8" customFormat="1" ht="12" customHeight="1">
      <c r="A83" s="198" t="s">
        <v>574</v>
      </c>
      <c r="B83" s="312">
        <v>40258</v>
      </c>
      <c r="C83" s="271" t="s">
        <v>85</v>
      </c>
      <c r="D83" s="199" t="s">
        <v>511</v>
      </c>
      <c r="E83" s="339" t="s">
        <v>23</v>
      </c>
      <c r="F83" s="201">
        <v>3000</v>
      </c>
      <c r="G83" s="276">
        <v>58.14</v>
      </c>
      <c r="H83" s="202">
        <f t="shared" si="9"/>
        <v>174420</v>
      </c>
      <c r="I83" s="220">
        <f t="shared" si="10"/>
        <v>0.0044</v>
      </c>
      <c r="J83" s="294"/>
      <c r="K83" s="294"/>
      <c r="M83" s="201"/>
      <c r="N83" s="201">
        <v>46.09</v>
      </c>
      <c r="O83" s="202">
        <f aca="true" t="shared" si="11" ref="O83:O95">N83*1.0875</f>
        <v>50.12</v>
      </c>
      <c r="P83" s="225"/>
      <c r="Q83" s="225">
        <f aca="true" t="shared" si="12" ref="Q83:Q95">P83*1.1735</f>
        <v>0</v>
      </c>
      <c r="R83" s="248">
        <f aca="true" t="shared" si="13" ref="R83:R95">(M83+O83+Q83)*1.2332</f>
        <v>61.81</v>
      </c>
    </row>
    <row r="84" spans="1:18" s="8" customFormat="1" ht="12" customHeight="1">
      <c r="A84" s="198" t="s">
        <v>575</v>
      </c>
      <c r="B84" s="204" t="s">
        <v>461</v>
      </c>
      <c r="C84" s="204" t="s">
        <v>85</v>
      </c>
      <c r="D84" s="199" t="s">
        <v>462</v>
      </c>
      <c r="E84" s="339" t="s">
        <v>23</v>
      </c>
      <c r="F84" s="201">
        <v>6000</v>
      </c>
      <c r="G84" s="276">
        <v>4.59</v>
      </c>
      <c r="H84" s="202">
        <f t="shared" si="9"/>
        <v>27540</v>
      </c>
      <c r="I84" s="220">
        <f t="shared" si="10"/>
        <v>0.0007</v>
      </c>
      <c r="J84" s="294"/>
      <c r="K84" s="294"/>
      <c r="M84" s="201"/>
      <c r="N84" s="201">
        <v>46.09</v>
      </c>
      <c r="O84" s="202">
        <f t="shared" si="11"/>
        <v>50.12</v>
      </c>
      <c r="P84" s="225"/>
      <c r="Q84" s="225">
        <f t="shared" si="12"/>
        <v>0</v>
      </c>
      <c r="R84" s="248">
        <f t="shared" si="13"/>
        <v>61.81</v>
      </c>
    </row>
    <row r="85" spans="1:18" s="8" customFormat="1" ht="12.75" customHeight="1">
      <c r="A85" s="198" t="s">
        <v>576</v>
      </c>
      <c r="B85" s="204" t="s">
        <v>512</v>
      </c>
      <c r="C85" s="271" t="s">
        <v>85</v>
      </c>
      <c r="D85" s="199" t="s">
        <v>109</v>
      </c>
      <c r="E85" s="339" t="s">
        <v>23</v>
      </c>
      <c r="F85" s="201">
        <v>6000</v>
      </c>
      <c r="G85" s="276">
        <v>19.63</v>
      </c>
      <c r="H85" s="202">
        <f t="shared" si="9"/>
        <v>117780</v>
      </c>
      <c r="I85" s="220">
        <f t="shared" si="10"/>
        <v>0.003</v>
      </c>
      <c r="J85" s="294"/>
      <c r="K85" s="294"/>
      <c r="M85" s="201"/>
      <c r="N85" s="201"/>
      <c r="O85" s="202">
        <f t="shared" si="11"/>
        <v>0</v>
      </c>
      <c r="P85" s="225">
        <v>14.53</v>
      </c>
      <c r="Q85" s="225">
        <f t="shared" si="12"/>
        <v>17.05</v>
      </c>
      <c r="R85" s="248">
        <f t="shared" si="13"/>
        <v>21.03</v>
      </c>
    </row>
    <row r="86" spans="1:18" s="8" customFormat="1" ht="11.25" customHeight="1">
      <c r="A86" s="198" t="s">
        <v>577</v>
      </c>
      <c r="B86" s="204" t="s">
        <v>513</v>
      </c>
      <c r="C86" s="271" t="s">
        <v>85</v>
      </c>
      <c r="D86" s="199" t="s">
        <v>110</v>
      </c>
      <c r="E86" s="342" t="s">
        <v>23</v>
      </c>
      <c r="F86" s="201">
        <v>2000</v>
      </c>
      <c r="G86" s="276">
        <v>51.97</v>
      </c>
      <c r="H86" s="202">
        <f t="shared" si="9"/>
        <v>103940</v>
      </c>
      <c r="I86" s="220">
        <f t="shared" si="10"/>
        <v>0.0026</v>
      </c>
      <c r="J86" s="294"/>
      <c r="K86" s="294"/>
      <c r="M86" s="201"/>
      <c r="N86" s="201"/>
      <c r="O86" s="202">
        <f t="shared" si="11"/>
        <v>0</v>
      </c>
      <c r="P86" s="225">
        <v>45.38</v>
      </c>
      <c r="Q86" s="225">
        <f t="shared" si="12"/>
        <v>53.25</v>
      </c>
      <c r="R86" s="248">
        <f t="shared" si="13"/>
        <v>65.67</v>
      </c>
    </row>
    <row r="87" spans="1:18" s="8" customFormat="1" ht="12" customHeight="1">
      <c r="A87" s="198" t="s">
        <v>578</v>
      </c>
      <c r="B87" s="204">
        <v>43056</v>
      </c>
      <c r="C87" s="271" t="s">
        <v>85</v>
      </c>
      <c r="D87" s="278" t="s">
        <v>539</v>
      </c>
      <c r="E87" s="342" t="s">
        <v>23</v>
      </c>
      <c r="F87" s="201">
        <v>3500</v>
      </c>
      <c r="G87" s="276">
        <v>69.84</v>
      </c>
      <c r="H87" s="202">
        <f t="shared" si="9"/>
        <v>244440</v>
      </c>
      <c r="I87" s="203">
        <f t="shared" si="10"/>
        <v>0.0062</v>
      </c>
      <c r="J87" s="293"/>
      <c r="K87" s="293"/>
      <c r="L87" s="22"/>
      <c r="M87" s="226"/>
      <c r="N87" s="226"/>
      <c r="O87" s="202">
        <f t="shared" si="11"/>
        <v>0</v>
      </c>
      <c r="P87" s="225"/>
      <c r="Q87" s="225">
        <f t="shared" si="12"/>
        <v>0</v>
      </c>
      <c r="R87" s="249">
        <f t="shared" si="13"/>
        <v>0</v>
      </c>
    </row>
    <row r="88" spans="1:18" s="8" customFormat="1" ht="25.5">
      <c r="A88" s="198" t="s">
        <v>579</v>
      </c>
      <c r="B88" s="204">
        <v>42708</v>
      </c>
      <c r="C88" s="271" t="s">
        <v>85</v>
      </c>
      <c r="D88" s="278" t="s">
        <v>536</v>
      </c>
      <c r="E88" s="342" t="s">
        <v>23</v>
      </c>
      <c r="F88" s="201">
        <v>500</v>
      </c>
      <c r="G88" s="276">
        <v>120.26</v>
      </c>
      <c r="H88" s="202">
        <f t="shared" si="9"/>
        <v>60130</v>
      </c>
      <c r="I88" s="203">
        <f t="shared" si="10"/>
        <v>0.0015</v>
      </c>
      <c r="J88" s="293"/>
      <c r="K88" s="293"/>
      <c r="L88" s="22"/>
      <c r="M88" s="226"/>
      <c r="N88" s="226"/>
      <c r="O88" s="202">
        <f t="shared" si="11"/>
        <v>0</v>
      </c>
      <c r="P88" s="225"/>
      <c r="Q88" s="225">
        <f t="shared" si="12"/>
        <v>0</v>
      </c>
      <c r="R88" s="249">
        <f t="shared" si="13"/>
        <v>0</v>
      </c>
    </row>
    <row r="89" spans="1:18" s="8" customFormat="1" ht="12" customHeight="1">
      <c r="A89" s="198" t="s">
        <v>580</v>
      </c>
      <c r="B89" s="204">
        <v>43060</v>
      </c>
      <c r="C89" s="271" t="s">
        <v>85</v>
      </c>
      <c r="D89" s="278" t="s">
        <v>537</v>
      </c>
      <c r="E89" s="342" t="s">
        <v>112</v>
      </c>
      <c r="F89" s="201">
        <v>50</v>
      </c>
      <c r="G89" s="276">
        <v>1088.75</v>
      </c>
      <c r="H89" s="202">
        <f t="shared" si="9"/>
        <v>54437.5</v>
      </c>
      <c r="I89" s="203">
        <f t="shared" si="10"/>
        <v>0.0014</v>
      </c>
      <c r="J89" s="293"/>
      <c r="K89" s="293"/>
      <c r="L89" s="22"/>
      <c r="M89" s="226"/>
      <c r="N89" s="226"/>
      <c r="O89" s="202">
        <f t="shared" si="11"/>
        <v>0</v>
      </c>
      <c r="P89" s="225"/>
      <c r="Q89" s="225">
        <f t="shared" si="12"/>
        <v>0</v>
      </c>
      <c r="R89" s="249">
        <f t="shared" si="13"/>
        <v>0</v>
      </c>
    </row>
    <row r="90" spans="1:18" s="8" customFormat="1" ht="12" customHeight="1">
      <c r="A90" s="198" t="s">
        <v>581</v>
      </c>
      <c r="B90" s="204">
        <v>40558</v>
      </c>
      <c r="C90" s="271" t="s">
        <v>85</v>
      </c>
      <c r="D90" s="283" t="s">
        <v>538</v>
      </c>
      <c r="E90" s="342" t="s">
        <v>112</v>
      </c>
      <c r="F90" s="201">
        <v>50</v>
      </c>
      <c r="G90" s="276">
        <v>663.76</v>
      </c>
      <c r="H90" s="202">
        <f t="shared" si="9"/>
        <v>33188</v>
      </c>
      <c r="I90" s="203">
        <f t="shared" si="10"/>
        <v>0.0008</v>
      </c>
      <c r="J90" s="293"/>
      <c r="K90" s="293"/>
      <c r="L90" s="22"/>
      <c r="M90" s="226"/>
      <c r="N90" s="226"/>
      <c r="O90" s="202">
        <f t="shared" si="11"/>
        <v>0</v>
      </c>
      <c r="P90" s="225"/>
      <c r="Q90" s="225">
        <f t="shared" si="12"/>
        <v>0</v>
      </c>
      <c r="R90" s="249">
        <f t="shared" si="13"/>
        <v>0</v>
      </c>
    </row>
    <row r="91" spans="1:18" s="8" customFormat="1" ht="12" customHeight="1">
      <c r="A91" s="198" t="s">
        <v>582</v>
      </c>
      <c r="B91" s="204">
        <v>41241</v>
      </c>
      <c r="C91" s="271" t="s">
        <v>85</v>
      </c>
      <c r="D91" s="205" t="s">
        <v>514</v>
      </c>
      <c r="E91" s="339" t="s">
        <v>112</v>
      </c>
      <c r="F91" s="201">
        <v>80</v>
      </c>
      <c r="G91" s="276">
        <v>1561.25</v>
      </c>
      <c r="H91" s="202">
        <f t="shared" si="9"/>
        <v>124900</v>
      </c>
      <c r="I91" s="203">
        <f t="shared" si="10"/>
        <v>0.0032</v>
      </c>
      <c r="J91" s="293"/>
      <c r="K91" s="293"/>
      <c r="L91" s="22"/>
      <c r="M91" s="226"/>
      <c r="N91" s="226"/>
      <c r="O91" s="202">
        <f t="shared" si="11"/>
        <v>0</v>
      </c>
      <c r="P91" s="225"/>
      <c r="Q91" s="225">
        <f t="shared" si="12"/>
        <v>0</v>
      </c>
      <c r="R91" s="249">
        <f t="shared" si="13"/>
        <v>0</v>
      </c>
    </row>
    <row r="92" spans="1:18" s="8" customFormat="1" ht="12" customHeight="1">
      <c r="A92" s="198" t="s">
        <v>647</v>
      </c>
      <c r="B92" s="204">
        <v>42697</v>
      </c>
      <c r="C92" s="271" t="s">
        <v>85</v>
      </c>
      <c r="D92" s="205" t="s">
        <v>515</v>
      </c>
      <c r="E92" s="339" t="s">
        <v>104</v>
      </c>
      <c r="F92" s="201">
        <v>100</v>
      </c>
      <c r="G92" s="276">
        <v>742.37</v>
      </c>
      <c r="H92" s="202">
        <f t="shared" si="9"/>
        <v>74237</v>
      </c>
      <c r="I92" s="203">
        <f t="shared" si="10"/>
        <v>0.0019</v>
      </c>
      <c r="J92" s="293"/>
      <c r="K92" s="293"/>
      <c r="L92" s="22"/>
      <c r="M92" s="226"/>
      <c r="N92" s="226"/>
      <c r="O92" s="202">
        <f t="shared" si="11"/>
        <v>0</v>
      </c>
      <c r="P92" s="225"/>
      <c r="Q92" s="225">
        <f t="shared" si="12"/>
        <v>0</v>
      </c>
      <c r="R92" s="249">
        <f t="shared" si="13"/>
        <v>0</v>
      </c>
    </row>
    <row r="93" spans="1:18" s="8" customFormat="1" ht="25.5">
      <c r="A93" s="198" t="s">
        <v>648</v>
      </c>
      <c r="B93" s="204" t="s">
        <v>593</v>
      </c>
      <c r="C93" s="271" t="s">
        <v>85</v>
      </c>
      <c r="D93" s="317" t="s">
        <v>592</v>
      </c>
      <c r="E93" s="339" t="s">
        <v>112</v>
      </c>
      <c r="F93" s="201">
        <v>30</v>
      </c>
      <c r="G93" s="276">
        <v>3293.08</v>
      </c>
      <c r="H93" s="202">
        <f t="shared" si="9"/>
        <v>98792.4</v>
      </c>
      <c r="I93" s="203">
        <f t="shared" si="10"/>
        <v>0.0025</v>
      </c>
      <c r="J93" s="293"/>
      <c r="K93" s="293"/>
      <c r="L93" s="22"/>
      <c r="M93" s="226"/>
      <c r="N93" s="226"/>
      <c r="O93" s="202">
        <f t="shared" si="11"/>
        <v>0</v>
      </c>
      <c r="P93" s="225"/>
      <c r="Q93" s="225">
        <f t="shared" si="12"/>
        <v>0</v>
      </c>
      <c r="R93" s="249">
        <f t="shared" si="13"/>
        <v>0</v>
      </c>
    </row>
    <row r="94" spans="1:18" s="8" customFormat="1" ht="12" customHeight="1">
      <c r="A94" s="198" t="s">
        <v>649</v>
      </c>
      <c r="B94" s="204" t="s">
        <v>595</v>
      </c>
      <c r="C94" s="271" t="s">
        <v>85</v>
      </c>
      <c r="D94" s="199" t="s">
        <v>594</v>
      </c>
      <c r="E94" s="339" t="s">
        <v>112</v>
      </c>
      <c r="F94" s="201">
        <v>20</v>
      </c>
      <c r="G94" s="276">
        <v>3810.16</v>
      </c>
      <c r="H94" s="202">
        <f t="shared" si="9"/>
        <v>76203.2</v>
      </c>
      <c r="I94" s="203">
        <f t="shared" si="10"/>
        <v>0.0019</v>
      </c>
      <c r="J94" s="293"/>
      <c r="K94" s="293"/>
      <c r="L94" s="22"/>
      <c r="M94" s="226"/>
      <c r="N94" s="226"/>
      <c r="O94" s="202">
        <f t="shared" si="11"/>
        <v>0</v>
      </c>
      <c r="P94" s="225"/>
      <c r="Q94" s="225">
        <f t="shared" si="12"/>
        <v>0</v>
      </c>
      <c r="R94" s="249">
        <f t="shared" si="13"/>
        <v>0</v>
      </c>
    </row>
    <row r="95" spans="1:18" s="8" customFormat="1" ht="12" customHeight="1">
      <c r="A95" s="198" t="s">
        <v>650</v>
      </c>
      <c r="B95" s="204" t="s">
        <v>597</v>
      </c>
      <c r="C95" s="271" t="s">
        <v>85</v>
      </c>
      <c r="D95" s="199" t="s">
        <v>596</v>
      </c>
      <c r="E95" s="339" t="s">
        <v>112</v>
      </c>
      <c r="F95" s="201">
        <v>20</v>
      </c>
      <c r="G95" s="276">
        <v>4496.48</v>
      </c>
      <c r="H95" s="202">
        <f t="shared" si="9"/>
        <v>89929.6</v>
      </c>
      <c r="I95" s="203">
        <f t="shared" si="10"/>
        <v>0.0023</v>
      </c>
      <c r="J95" s="293"/>
      <c r="K95" s="293"/>
      <c r="L95" s="22"/>
      <c r="M95" s="226"/>
      <c r="N95" s="226"/>
      <c r="O95" s="202">
        <f t="shared" si="11"/>
        <v>0</v>
      </c>
      <c r="P95" s="225"/>
      <c r="Q95" s="225">
        <f t="shared" si="12"/>
        <v>0</v>
      </c>
      <c r="R95" s="249">
        <f t="shared" si="13"/>
        <v>0</v>
      </c>
    </row>
    <row r="96" spans="1:18" s="8" customFormat="1" ht="12" customHeight="1">
      <c r="A96" s="198" t="s">
        <v>656</v>
      </c>
      <c r="B96" s="306">
        <v>41170</v>
      </c>
      <c r="C96" s="271" t="s">
        <v>85</v>
      </c>
      <c r="D96" t="s">
        <v>590</v>
      </c>
      <c r="E96" s="339" t="s">
        <v>112</v>
      </c>
      <c r="F96" s="201">
        <v>15</v>
      </c>
      <c r="G96" s="276">
        <v>4939.97</v>
      </c>
      <c r="H96" s="202">
        <f t="shared" si="9"/>
        <v>74099.55</v>
      </c>
      <c r="I96" s="203">
        <f t="shared" si="10"/>
        <v>0.0019</v>
      </c>
      <c r="J96" s="293"/>
      <c r="K96" s="293"/>
      <c r="L96" s="22"/>
      <c r="M96" s="226"/>
      <c r="N96" s="226"/>
      <c r="O96" s="202"/>
      <c r="P96" s="225"/>
      <c r="Q96" s="225"/>
      <c r="R96" s="249"/>
    </row>
    <row r="97" spans="1:18" s="8" customFormat="1" ht="12" customHeight="1">
      <c r="A97" s="198" t="s">
        <v>657</v>
      </c>
      <c r="B97" s="195" t="s">
        <v>459</v>
      </c>
      <c r="C97" s="195" t="s">
        <v>85</v>
      </c>
      <c r="D97" s="199" t="s">
        <v>437</v>
      </c>
      <c r="E97" s="339" t="s">
        <v>438</v>
      </c>
      <c r="F97" s="201">
        <v>15</v>
      </c>
      <c r="G97" s="276">
        <v>5888.12</v>
      </c>
      <c r="H97" s="202">
        <f t="shared" si="9"/>
        <v>88321.8</v>
      </c>
      <c r="I97" s="203">
        <f t="shared" si="10"/>
        <v>0.0022</v>
      </c>
      <c r="J97" s="303"/>
      <c r="K97" s="293"/>
      <c r="L97" s="22"/>
      <c r="M97" s="226"/>
      <c r="N97" s="226"/>
      <c r="O97" s="202"/>
      <c r="P97" s="225"/>
      <c r="Q97" s="225"/>
      <c r="R97" s="249"/>
    </row>
    <row r="98" spans="1:18" s="8" customFormat="1" ht="25.5">
      <c r="A98" s="405" t="s">
        <v>658</v>
      </c>
      <c r="B98" s="304" t="s">
        <v>721</v>
      </c>
      <c r="C98" s="305" t="s">
        <v>21</v>
      </c>
      <c r="D98" s="278" t="s">
        <v>460</v>
      </c>
      <c r="E98" s="342" t="s">
        <v>439</v>
      </c>
      <c r="F98" s="280">
        <v>100</v>
      </c>
      <c r="G98" s="276">
        <v>948.6</v>
      </c>
      <c r="H98" s="202">
        <f t="shared" si="9"/>
        <v>94860</v>
      </c>
      <c r="I98" s="203">
        <f t="shared" si="10"/>
        <v>0.0024</v>
      </c>
      <c r="J98" s="303"/>
      <c r="K98" s="293"/>
      <c r="L98" s="22"/>
      <c r="M98" s="226"/>
      <c r="N98" s="226"/>
      <c r="O98" s="202"/>
      <c r="P98" s="225"/>
      <c r="Q98" s="225"/>
      <c r="R98" s="249"/>
    </row>
    <row r="99" spans="1:18" s="8" customFormat="1" ht="12.75" customHeight="1">
      <c r="A99" s="198" t="s">
        <v>659</v>
      </c>
      <c r="B99" s="195" t="s">
        <v>440</v>
      </c>
      <c r="C99" s="195" t="s">
        <v>85</v>
      </c>
      <c r="D99" s="199" t="s">
        <v>441</v>
      </c>
      <c r="E99" s="339" t="s">
        <v>22</v>
      </c>
      <c r="F99" s="201">
        <v>4000</v>
      </c>
      <c r="G99" s="276">
        <v>279.38</v>
      </c>
      <c r="H99" s="202">
        <f t="shared" si="9"/>
        <v>1117520</v>
      </c>
      <c r="I99" s="203">
        <f t="shared" si="10"/>
        <v>0.0282</v>
      </c>
      <c r="J99" s="303"/>
      <c r="K99" s="293"/>
      <c r="L99" s="22"/>
      <c r="M99" s="226"/>
      <c r="N99" s="226"/>
      <c r="O99" s="202"/>
      <c r="P99" s="225"/>
      <c r="Q99" s="225"/>
      <c r="R99" s="249"/>
    </row>
    <row r="100" spans="1:18" s="8" customFormat="1" ht="12.75" customHeight="1">
      <c r="A100" s="198" t="s">
        <v>660</v>
      </c>
      <c r="B100" s="204" t="s">
        <v>519</v>
      </c>
      <c r="C100" s="195" t="s">
        <v>85</v>
      </c>
      <c r="D100" s="199" t="s">
        <v>111</v>
      </c>
      <c r="E100" s="339" t="s">
        <v>112</v>
      </c>
      <c r="F100" s="201">
        <v>10</v>
      </c>
      <c r="G100" s="276">
        <v>1851.46</v>
      </c>
      <c r="H100" s="202">
        <f t="shared" si="9"/>
        <v>18514.6</v>
      </c>
      <c r="I100" s="203">
        <f t="shared" si="10"/>
        <v>0.0005</v>
      </c>
      <c r="J100" s="293"/>
      <c r="K100" s="293"/>
      <c r="L100" s="22"/>
      <c r="M100" s="226"/>
      <c r="N100" s="226"/>
      <c r="O100" s="202">
        <f>N100*1.0875</f>
        <v>0</v>
      </c>
      <c r="P100" s="225"/>
      <c r="Q100" s="225">
        <f>P100*1.1735</f>
        <v>0</v>
      </c>
      <c r="R100" s="249">
        <f>(M100+O100+Q100)*1.2332</f>
        <v>0</v>
      </c>
    </row>
    <row r="101" spans="1:18" s="8" customFormat="1" ht="12.75" customHeight="1">
      <c r="A101" s="198" t="s">
        <v>662</v>
      </c>
      <c r="B101" s="195">
        <v>41123</v>
      </c>
      <c r="C101" s="195" t="s">
        <v>85</v>
      </c>
      <c r="D101" s="205" t="s">
        <v>115</v>
      </c>
      <c r="E101" s="339" t="s">
        <v>104</v>
      </c>
      <c r="F101" s="201">
        <v>100</v>
      </c>
      <c r="G101" s="276">
        <v>77.96</v>
      </c>
      <c r="H101" s="202">
        <f>F101*G101</f>
        <v>7796</v>
      </c>
      <c r="I101" s="220">
        <f t="shared" si="10"/>
        <v>0.0002</v>
      </c>
      <c r="J101" s="293"/>
      <c r="K101" s="293"/>
      <c r="L101" s="22"/>
      <c r="M101" s="226"/>
      <c r="N101" s="226"/>
      <c r="O101" s="202"/>
      <c r="P101" s="225"/>
      <c r="Q101" s="225"/>
      <c r="R101" s="249"/>
    </row>
    <row r="102" spans="1:18" s="8" customFormat="1" ht="12.75" customHeight="1">
      <c r="A102" s="198" t="s">
        <v>664</v>
      </c>
      <c r="B102" s="195">
        <v>43100</v>
      </c>
      <c r="C102" s="195" t="s">
        <v>85</v>
      </c>
      <c r="D102" s="205" t="s">
        <v>116</v>
      </c>
      <c r="E102" s="339" t="s">
        <v>104</v>
      </c>
      <c r="F102" s="201">
        <v>150</v>
      </c>
      <c r="G102" s="276">
        <v>63.84</v>
      </c>
      <c r="H102" s="202">
        <f>F102*G102</f>
        <v>9576</v>
      </c>
      <c r="I102" s="220">
        <f t="shared" si="10"/>
        <v>0.0002</v>
      </c>
      <c r="J102" s="293"/>
      <c r="K102" s="293"/>
      <c r="L102" s="22"/>
      <c r="M102" s="226"/>
      <c r="N102" s="226"/>
      <c r="O102" s="202"/>
      <c r="P102" s="225"/>
      <c r="Q102" s="225"/>
      <c r="R102" s="249"/>
    </row>
    <row r="103" spans="1:18" s="8" customFormat="1" ht="25.5">
      <c r="A103" s="198" t="s">
        <v>665</v>
      </c>
      <c r="B103" s="313">
        <v>40748</v>
      </c>
      <c r="C103" s="195" t="s">
        <v>85</v>
      </c>
      <c r="D103" s="333" t="s">
        <v>668</v>
      </c>
      <c r="E103" s="339" t="s">
        <v>22</v>
      </c>
      <c r="F103" s="201">
        <v>600</v>
      </c>
      <c r="G103" s="276">
        <v>289.03</v>
      </c>
      <c r="H103" s="202">
        <f>F103*G103</f>
        <v>173418</v>
      </c>
      <c r="I103" s="220">
        <f t="shared" si="10"/>
        <v>0.0044</v>
      </c>
      <c r="J103" s="293"/>
      <c r="K103" s="293"/>
      <c r="L103" s="22"/>
      <c r="M103" s="226"/>
      <c r="N103" s="226"/>
      <c r="O103" s="202"/>
      <c r="P103" s="225"/>
      <c r="Q103" s="225"/>
      <c r="R103" s="249"/>
    </row>
    <row r="104" spans="1:18" s="8" customFormat="1" ht="12.75" customHeight="1">
      <c r="A104" s="198" t="s">
        <v>666</v>
      </c>
      <c r="B104" s="313">
        <v>40726</v>
      </c>
      <c r="C104" s="195" t="s">
        <v>85</v>
      </c>
      <c r="D104" s="328" t="s">
        <v>669</v>
      </c>
      <c r="E104" s="342" t="s">
        <v>23</v>
      </c>
      <c r="F104" s="201">
        <v>600</v>
      </c>
      <c r="G104" s="276">
        <v>564</v>
      </c>
      <c r="H104" s="202">
        <f t="shared" si="9"/>
        <v>338400</v>
      </c>
      <c r="I104" s="220">
        <f t="shared" si="10"/>
        <v>0.0085</v>
      </c>
      <c r="J104" s="294"/>
      <c r="K104" s="294"/>
      <c r="L104" s="22"/>
      <c r="M104" s="226"/>
      <c r="N104" s="226"/>
      <c r="O104" s="202">
        <f>N104*1.0875</f>
        <v>0</v>
      </c>
      <c r="P104" s="225">
        <v>49.1</v>
      </c>
      <c r="Q104" s="225">
        <f>P104*1.1735</f>
        <v>57.62</v>
      </c>
      <c r="R104" s="248">
        <f>(M104+O104+Q104)*1.2332</f>
        <v>71.06</v>
      </c>
    </row>
    <row r="105" spans="1:18" s="8" customFormat="1" ht="12.75" customHeight="1">
      <c r="A105" s="198" t="s">
        <v>667</v>
      </c>
      <c r="B105" s="313">
        <v>41264</v>
      </c>
      <c r="C105" s="195" t="s">
        <v>85</v>
      </c>
      <c r="D105" s="355" t="s">
        <v>670</v>
      </c>
      <c r="E105" s="342" t="s">
        <v>23</v>
      </c>
      <c r="F105" s="201">
        <v>300</v>
      </c>
      <c r="G105" s="276">
        <v>478.02</v>
      </c>
      <c r="H105" s="202">
        <f t="shared" si="9"/>
        <v>143406</v>
      </c>
      <c r="I105" s="220">
        <f t="shared" si="10"/>
        <v>0.0036</v>
      </c>
      <c r="J105" s="294"/>
      <c r="K105" s="294"/>
      <c r="L105" s="22"/>
      <c r="M105" s="226"/>
      <c r="N105" s="226"/>
      <c r="O105" s="202"/>
      <c r="P105" s="225"/>
      <c r="Q105" s="225"/>
      <c r="R105" s="248"/>
    </row>
    <row r="106" spans="1:18" s="8" customFormat="1" ht="12.75" customHeight="1">
      <c r="A106" s="198" t="s">
        <v>673</v>
      </c>
      <c r="B106" s="313">
        <v>40099</v>
      </c>
      <c r="C106" s="195" t="s">
        <v>85</v>
      </c>
      <c r="D106" s="328" t="s">
        <v>671</v>
      </c>
      <c r="E106" s="342" t="s">
        <v>23</v>
      </c>
      <c r="F106" s="201">
        <v>100</v>
      </c>
      <c r="G106" s="276">
        <v>838.14</v>
      </c>
      <c r="H106" s="202">
        <f t="shared" si="9"/>
        <v>83814</v>
      </c>
      <c r="I106" s="220">
        <f t="shared" si="10"/>
        <v>0.0021</v>
      </c>
      <c r="J106" s="294"/>
      <c r="K106" s="294"/>
      <c r="L106" s="22"/>
      <c r="M106" s="226"/>
      <c r="N106" s="226"/>
      <c r="O106" s="202"/>
      <c r="P106" s="225"/>
      <c r="Q106" s="225"/>
      <c r="R106" s="248"/>
    </row>
    <row r="107" spans="1:18" s="8" customFormat="1" ht="12" customHeight="1">
      <c r="A107" s="198" t="s">
        <v>674</v>
      </c>
      <c r="B107" s="313">
        <v>40353</v>
      </c>
      <c r="C107" s="195" t="s">
        <v>85</v>
      </c>
      <c r="D107" s="324" t="s">
        <v>672</v>
      </c>
      <c r="E107" s="342" t="s">
        <v>23</v>
      </c>
      <c r="F107" s="201">
        <v>200</v>
      </c>
      <c r="G107" s="276">
        <v>515.85</v>
      </c>
      <c r="H107" s="202">
        <f t="shared" si="9"/>
        <v>103170</v>
      </c>
      <c r="I107" s="220">
        <f t="shared" si="10"/>
        <v>0.0026</v>
      </c>
      <c r="J107" s="294"/>
      <c r="K107" s="294"/>
      <c r="L107" s="22"/>
      <c r="M107" s="226"/>
      <c r="N107" s="226"/>
      <c r="O107" s="202">
        <f>N107*1.0875</f>
        <v>0</v>
      </c>
      <c r="P107" s="225">
        <v>42.2</v>
      </c>
      <c r="Q107" s="225">
        <f>P107*1.1735</f>
        <v>49.52</v>
      </c>
      <c r="R107" s="248">
        <f>(M107+O107+Q107)*1.2332</f>
        <v>61.07</v>
      </c>
    </row>
    <row r="108" spans="1:18" s="8" customFormat="1" ht="25.5">
      <c r="A108" s="198" t="s">
        <v>675</v>
      </c>
      <c r="B108" s="313">
        <v>40312</v>
      </c>
      <c r="C108" s="195" t="s">
        <v>85</v>
      </c>
      <c r="D108" s="357" t="s">
        <v>676</v>
      </c>
      <c r="E108" s="339" t="s">
        <v>22</v>
      </c>
      <c r="F108" s="201">
        <v>1400</v>
      </c>
      <c r="G108" s="276">
        <v>102.72</v>
      </c>
      <c r="H108" s="202">
        <f>F108*G108</f>
        <v>143808</v>
      </c>
      <c r="I108" s="220">
        <f t="shared" si="10"/>
        <v>0.0036</v>
      </c>
      <c r="J108" s="294"/>
      <c r="K108" s="294"/>
      <c r="L108" s="22"/>
      <c r="M108" s="226"/>
      <c r="N108" s="226"/>
      <c r="O108" s="202"/>
      <c r="P108" s="225"/>
      <c r="Q108" s="225"/>
      <c r="R108" s="248"/>
    </row>
    <row r="109" spans="1:18" s="8" customFormat="1" ht="18" customHeight="1">
      <c r="A109" s="589" t="s">
        <v>602</v>
      </c>
      <c r="B109" s="590"/>
      <c r="C109" s="590"/>
      <c r="D109" s="590"/>
      <c r="E109" s="590"/>
      <c r="F109" s="590"/>
      <c r="G109" s="591"/>
      <c r="H109" s="468">
        <f>SUM(H64:H108)</f>
        <v>6463395.77</v>
      </c>
      <c r="I109" s="469">
        <f>SUM(I64:I107)</f>
        <v>0.1596</v>
      </c>
      <c r="J109" s="293"/>
      <c r="K109" s="293"/>
      <c r="L109" s="22"/>
      <c r="M109" s="226"/>
      <c r="N109" s="226"/>
      <c r="O109" s="202"/>
      <c r="P109" s="225"/>
      <c r="Q109" s="225"/>
      <c r="R109" s="249"/>
    </row>
    <row r="110" spans="1:18" s="8" customFormat="1" ht="4.5" customHeight="1">
      <c r="A110" s="596"/>
      <c r="B110" s="597"/>
      <c r="C110" s="597"/>
      <c r="D110" s="597"/>
      <c r="E110" s="597"/>
      <c r="F110" s="597"/>
      <c r="G110" s="597"/>
      <c r="H110" s="597"/>
      <c r="I110" s="598"/>
      <c r="J110" s="293"/>
      <c r="K110" s="293"/>
      <c r="L110" s="22"/>
      <c r="M110" s="226"/>
      <c r="N110" s="226"/>
      <c r="O110" s="202"/>
      <c r="P110" s="225"/>
      <c r="Q110" s="225"/>
      <c r="R110" s="249"/>
    </row>
    <row r="111" spans="1:18" s="8" customFormat="1" ht="15.75" customHeight="1">
      <c r="A111" s="210" t="s">
        <v>146</v>
      </c>
      <c r="B111" s="599" t="s">
        <v>118</v>
      </c>
      <c r="C111" s="600"/>
      <c r="D111" s="601"/>
      <c r="E111" s="341"/>
      <c r="F111" s="213"/>
      <c r="G111" s="213"/>
      <c r="H111" s="214"/>
      <c r="I111" s="215"/>
      <c r="J111" s="293"/>
      <c r="K111" s="293"/>
      <c r="L111" s="22"/>
      <c r="M111" s="226"/>
      <c r="N111" s="226"/>
      <c r="O111" s="202"/>
      <c r="P111" s="225"/>
      <c r="Q111" s="225"/>
      <c r="R111" s="249"/>
    </row>
    <row r="112" spans="1:18" s="8" customFormat="1" ht="15.75" customHeight="1">
      <c r="A112" s="198" t="s">
        <v>583</v>
      </c>
      <c r="B112" s="475">
        <v>7080100010</v>
      </c>
      <c r="C112" s="195" t="s">
        <v>766</v>
      </c>
      <c r="D112" s="480" t="s">
        <v>757</v>
      </c>
      <c r="E112" s="471" t="s">
        <v>112</v>
      </c>
      <c r="F112" s="201">
        <v>20</v>
      </c>
      <c r="G112" s="276">
        <f>J112*1.2332</f>
        <v>2442.45</v>
      </c>
      <c r="H112" s="202">
        <f>F112*G112</f>
        <v>48849</v>
      </c>
      <c r="I112" s="203">
        <f aca="true" t="shared" si="14" ref="I112:I131">H112/$H$223</f>
        <v>0.0012</v>
      </c>
      <c r="J112" s="472">
        <v>1980.58</v>
      </c>
      <c r="K112" s="293"/>
      <c r="L112" s="22"/>
      <c r="M112" s="226"/>
      <c r="N112" s="226"/>
      <c r="O112" s="202"/>
      <c r="P112" s="225"/>
      <c r="Q112" s="225"/>
      <c r="R112" s="249"/>
    </row>
    <row r="113" spans="1:18" s="8" customFormat="1" ht="15.75" customHeight="1">
      <c r="A113" s="198" t="s">
        <v>584</v>
      </c>
      <c r="B113" s="475">
        <v>7080100020</v>
      </c>
      <c r="C113" s="195" t="s">
        <v>766</v>
      </c>
      <c r="D113" s="480" t="s">
        <v>758</v>
      </c>
      <c r="E113" s="471" t="s">
        <v>112</v>
      </c>
      <c r="F113" s="201">
        <v>20</v>
      </c>
      <c r="G113" s="276">
        <f aca="true" t="shared" si="15" ref="G113:G131">J113*1.2332</f>
        <v>3728.27</v>
      </c>
      <c r="H113" s="202">
        <f aca="true" t="shared" si="16" ref="H113:H118">F113*G113</f>
        <v>74565.4</v>
      </c>
      <c r="I113" s="203">
        <f t="shared" si="14"/>
        <v>0.0019</v>
      </c>
      <c r="J113" s="472">
        <v>3023.25</v>
      </c>
      <c r="K113" s="293"/>
      <c r="L113" s="22"/>
      <c r="M113" s="226"/>
      <c r="N113" s="226"/>
      <c r="O113" s="202"/>
      <c r="P113" s="225"/>
      <c r="Q113" s="225"/>
      <c r="R113" s="249"/>
    </row>
    <row r="114" spans="1:18" s="8" customFormat="1" ht="15.75" customHeight="1">
      <c r="A114" s="198" t="s">
        <v>585</v>
      </c>
      <c r="B114" s="475">
        <v>7080100030</v>
      </c>
      <c r="C114" s="195" t="s">
        <v>766</v>
      </c>
      <c r="D114" s="480" t="s">
        <v>759</v>
      </c>
      <c r="E114" s="471" t="s">
        <v>112</v>
      </c>
      <c r="F114" s="201">
        <v>15</v>
      </c>
      <c r="G114" s="276">
        <f t="shared" si="15"/>
        <v>4042.76</v>
      </c>
      <c r="H114" s="202">
        <f t="shared" si="16"/>
        <v>60641.4</v>
      </c>
      <c r="I114" s="203">
        <f t="shared" si="14"/>
        <v>0.0015</v>
      </c>
      <c r="J114" s="473">
        <v>3278.27</v>
      </c>
      <c r="K114" s="293"/>
      <c r="L114" s="22"/>
      <c r="M114" s="226"/>
      <c r="N114" s="226"/>
      <c r="O114" s="202"/>
      <c r="P114" s="225"/>
      <c r="Q114" s="225"/>
      <c r="R114" s="249"/>
    </row>
    <row r="115" spans="1:18" s="8" customFormat="1" ht="15.75" customHeight="1">
      <c r="A115" s="198" t="s">
        <v>586</v>
      </c>
      <c r="B115" s="474">
        <v>7080100040</v>
      </c>
      <c r="C115" s="195" t="s">
        <v>766</v>
      </c>
      <c r="D115" s="481" t="s">
        <v>778</v>
      </c>
      <c r="E115" s="471" t="s">
        <v>112</v>
      </c>
      <c r="F115" s="201">
        <v>15</v>
      </c>
      <c r="G115" s="276">
        <f>J115*1.2332</f>
        <v>4357.27</v>
      </c>
      <c r="H115" s="202">
        <f>F115*G115</f>
        <v>65359.05</v>
      </c>
      <c r="I115" s="203">
        <f t="shared" si="14"/>
        <v>0.0017</v>
      </c>
      <c r="J115" s="473">
        <v>3533.3</v>
      </c>
      <c r="K115" s="293"/>
      <c r="L115" s="22"/>
      <c r="M115" s="226"/>
      <c r="N115" s="226"/>
      <c r="O115" s="202"/>
      <c r="P115" s="225"/>
      <c r="Q115" s="225"/>
      <c r="R115" s="249"/>
    </row>
    <row r="116" spans="1:18" s="8" customFormat="1" ht="15.75" customHeight="1">
      <c r="A116" s="198" t="s">
        <v>587</v>
      </c>
      <c r="B116" s="475">
        <v>7080100050</v>
      </c>
      <c r="C116" s="195" t="s">
        <v>766</v>
      </c>
      <c r="D116" s="480" t="s">
        <v>760</v>
      </c>
      <c r="E116" s="471" t="s">
        <v>112</v>
      </c>
      <c r="F116" s="201">
        <v>15</v>
      </c>
      <c r="G116" s="276">
        <f t="shared" si="15"/>
        <v>4357.27</v>
      </c>
      <c r="H116" s="202">
        <f t="shared" si="16"/>
        <v>65359.05</v>
      </c>
      <c r="I116" s="203">
        <f t="shared" si="14"/>
        <v>0.0017</v>
      </c>
      <c r="J116" s="473">
        <v>3533.3</v>
      </c>
      <c r="K116" s="293"/>
      <c r="L116" s="22"/>
      <c r="M116" s="226"/>
      <c r="N116" s="226"/>
      <c r="O116" s="202"/>
      <c r="P116" s="225"/>
      <c r="Q116" s="225"/>
      <c r="R116" s="249"/>
    </row>
    <row r="117" spans="1:18" s="8" customFormat="1" ht="15.75" customHeight="1">
      <c r="A117" s="198" t="s">
        <v>588</v>
      </c>
      <c r="B117" s="475">
        <v>7080100060</v>
      </c>
      <c r="C117" s="195" t="s">
        <v>766</v>
      </c>
      <c r="D117" s="480" t="s">
        <v>761</v>
      </c>
      <c r="E117" s="471" t="s">
        <v>112</v>
      </c>
      <c r="F117" s="201">
        <v>10</v>
      </c>
      <c r="G117" s="276">
        <f t="shared" si="15"/>
        <v>5506.89</v>
      </c>
      <c r="H117" s="202">
        <f t="shared" si="16"/>
        <v>55068.9</v>
      </c>
      <c r="I117" s="203">
        <f t="shared" si="14"/>
        <v>0.0014</v>
      </c>
      <c r="J117" s="473">
        <v>4465.53</v>
      </c>
      <c r="K117" s="293"/>
      <c r="L117" s="22"/>
      <c r="M117" s="226"/>
      <c r="N117" s="226"/>
      <c r="O117" s="202"/>
      <c r="P117" s="225"/>
      <c r="Q117" s="225"/>
      <c r="R117" s="249"/>
    </row>
    <row r="118" spans="1:18" s="8" customFormat="1" ht="15.75" customHeight="1">
      <c r="A118" s="198" t="s">
        <v>744</v>
      </c>
      <c r="B118" s="476">
        <v>7080100070</v>
      </c>
      <c r="C118" s="477" t="s">
        <v>766</v>
      </c>
      <c r="D118" s="482" t="s">
        <v>767</v>
      </c>
      <c r="E118" s="471" t="s">
        <v>112</v>
      </c>
      <c r="F118" s="201">
        <v>10</v>
      </c>
      <c r="G118" s="276">
        <f t="shared" si="15"/>
        <v>5874.32</v>
      </c>
      <c r="H118" s="202">
        <f t="shared" si="16"/>
        <v>58743.2</v>
      </c>
      <c r="I118" s="203">
        <f t="shared" si="14"/>
        <v>0.0015</v>
      </c>
      <c r="J118" s="473">
        <v>4763.48</v>
      </c>
      <c r="K118" s="293"/>
      <c r="L118" s="22"/>
      <c r="M118" s="226"/>
      <c r="N118" s="226"/>
      <c r="O118" s="202"/>
      <c r="P118" s="225"/>
      <c r="Q118" s="225"/>
      <c r="R118" s="249"/>
    </row>
    <row r="119" spans="1:18" s="8" customFormat="1" ht="15.75" customHeight="1">
      <c r="A119" s="198" t="s">
        <v>745</v>
      </c>
      <c r="B119" s="313">
        <v>7260100020</v>
      </c>
      <c r="C119" s="195" t="s">
        <v>766</v>
      </c>
      <c r="D119" s="478" t="s">
        <v>768</v>
      </c>
      <c r="E119" s="471" t="s">
        <v>104</v>
      </c>
      <c r="F119" s="201">
        <v>800</v>
      </c>
      <c r="G119" s="276">
        <f t="shared" si="15"/>
        <v>300.62</v>
      </c>
      <c r="H119" s="202">
        <f>F119*G119</f>
        <v>240496</v>
      </c>
      <c r="I119" s="203">
        <f t="shared" si="14"/>
        <v>0.0061</v>
      </c>
      <c r="J119">
        <v>243.77</v>
      </c>
      <c r="K119" s="293"/>
      <c r="L119" s="22"/>
      <c r="M119" s="226"/>
      <c r="N119" s="226"/>
      <c r="O119" s="202"/>
      <c r="P119" s="225"/>
      <c r="Q119" s="225"/>
      <c r="R119" s="249"/>
    </row>
    <row r="120" spans="1:18" s="8" customFormat="1" ht="15.75" customHeight="1">
      <c r="A120" s="198" t="s">
        <v>746</v>
      </c>
      <c r="B120" s="313">
        <v>7260100060</v>
      </c>
      <c r="C120" s="195" t="s">
        <v>766</v>
      </c>
      <c r="D120" s="478" t="s">
        <v>769</v>
      </c>
      <c r="E120" s="471" t="s">
        <v>104</v>
      </c>
      <c r="F120" s="201">
        <v>800</v>
      </c>
      <c r="G120" s="276">
        <f t="shared" si="15"/>
        <v>374.52</v>
      </c>
      <c r="H120" s="202">
        <f aca="true" t="shared" si="17" ref="H120:H131">F120*G120</f>
        <v>299616</v>
      </c>
      <c r="I120" s="203">
        <f t="shared" si="14"/>
        <v>0.0076</v>
      </c>
      <c r="J120">
        <v>303.7</v>
      </c>
      <c r="K120" s="293"/>
      <c r="L120" s="22"/>
      <c r="M120" s="226">
        <f>(1.5*2)*F120</f>
        <v>2400</v>
      </c>
      <c r="N120" s="226"/>
      <c r="O120" s="202"/>
      <c r="P120" s="225"/>
      <c r="Q120" s="225"/>
      <c r="R120" s="249"/>
    </row>
    <row r="121" spans="1:18" s="8" customFormat="1" ht="15.75" customHeight="1">
      <c r="A121" s="198" t="s">
        <v>747</v>
      </c>
      <c r="B121" s="313">
        <v>7260100100</v>
      </c>
      <c r="C121" s="195" t="s">
        <v>766</v>
      </c>
      <c r="D121" s="478" t="s">
        <v>770</v>
      </c>
      <c r="E121" s="471" t="s">
        <v>104</v>
      </c>
      <c r="F121" s="201">
        <v>600</v>
      </c>
      <c r="G121" s="276">
        <f t="shared" si="15"/>
        <v>406.06</v>
      </c>
      <c r="H121" s="202">
        <f t="shared" si="17"/>
        <v>243636</v>
      </c>
      <c r="I121" s="203">
        <f t="shared" si="14"/>
        <v>0.0062</v>
      </c>
      <c r="J121">
        <v>329.27</v>
      </c>
      <c r="K121" s="293"/>
      <c r="L121" s="22"/>
      <c r="M121" s="226">
        <f>(2*2)*F121</f>
        <v>2400</v>
      </c>
      <c r="N121" s="226"/>
      <c r="O121" s="202"/>
      <c r="P121" s="225"/>
      <c r="Q121" s="225"/>
      <c r="R121" s="249"/>
    </row>
    <row r="122" spans="1:18" s="8" customFormat="1" ht="15.75" customHeight="1">
      <c r="A122" s="198" t="s">
        <v>748</v>
      </c>
      <c r="B122" s="313">
        <v>7260100140</v>
      </c>
      <c r="C122" s="195" t="s">
        <v>766</v>
      </c>
      <c r="D122" s="478" t="s">
        <v>771</v>
      </c>
      <c r="E122" s="471" t="s">
        <v>104</v>
      </c>
      <c r="F122" s="201">
        <v>600</v>
      </c>
      <c r="G122" s="276">
        <f t="shared" si="15"/>
        <v>464.45</v>
      </c>
      <c r="H122" s="202">
        <f t="shared" si="17"/>
        <v>278670</v>
      </c>
      <c r="I122" s="203">
        <f t="shared" si="14"/>
        <v>0.007</v>
      </c>
      <c r="J122">
        <v>376.62</v>
      </c>
      <c r="K122" s="293"/>
      <c r="L122" s="22"/>
      <c r="M122" s="226">
        <f>(2.5*2)*F122</f>
        <v>3000</v>
      </c>
      <c r="N122" s="226"/>
      <c r="O122" s="202"/>
      <c r="P122" s="225"/>
      <c r="Q122" s="225"/>
      <c r="R122" s="249"/>
    </row>
    <row r="123" spans="1:18" s="8" customFormat="1" ht="15.75" customHeight="1">
      <c r="A123" s="198" t="s">
        <v>749</v>
      </c>
      <c r="B123" s="313">
        <v>7260100180</v>
      </c>
      <c r="C123" s="195" t="s">
        <v>766</v>
      </c>
      <c r="D123" s="478" t="s">
        <v>772</v>
      </c>
      <c r="E123" s="471" t="s">
        <v>104</v>
      </c>
      <c r="F123" s="201">
        <v>600</v>
      </c>
      <c r="G123" s="276">
        <f t="shared" si="15"/>
        <v>498.8</v>
      </c>
      <c r="H123" s="202">
        <f t="shared" si="17"/>
        <v>299280</v>
      </c>
      <c r="I123" s="203">
        <f t="shared" si="14"/>
        <v>0.0076</v>
      </c>
      <c r="J123">
        <v>404.48</v>
      </c>
      <c r="K123" s="293"/>
      <c r="L123" s="22"/>
      <c r="M123" s="226">
        <f>(3*2)*F123</f>
        <v>3600</v>
      </c>
      <c r="N123" s="226"/>
      <c r="O123" s="202"/>
      <c r="P123" s="225"/>
      <c r="Q123" s="225"/>
      <c r="R123" s="249"/>
    </row>
    <row r="124" spans="1:18" s="8" customFormat="1" ht="15.75" customHeight="1">
      <c r="A124" s="198" t="s">
        <v>750</v>
      </c>
      <c r="B124" s="313">
        <v>7260100220</v>
      </c>
      <c r="C124" s="195" t="s">
        <v>766</v>
      </c>
      <c r="D124" s="478" t="s">
        <v>773</v>
      </c>
      <c r="E124" s="471" t="s">
        <v>104</v>
      </c>
      <c r="F124" s="201">
        <v>400</v>
      </c>
      <c r="G124" s="276">
        <f t="shared" si="15"/>
        <v>566.4</v>
      </c>
      <c r="H124" s="202">
        <f t="shared" si="17"/>
        <v>226560</v>
      </c>
      <c r="I124" s="203">
        <f t="shared" si="14"/>
        <v>0.0057</v>
      </c>
      <c r="J124">
        <v>459.29</v>
      </c>
      <c r="K124" s="293"/>
      <c r="L124" s="22"/>
      <c r="M124" s="226">
        <f>(3.5*2)*F124</f>
        <v>2800</v>
      </c>
      <c r="N124" s="226"/>
      <c r="O124" s="202"/>
      <c r="P124" s="225"/>
      <c r="Q124" s="225"/>
      <c r="R124" s="249"/>
    </row>
    <row r="125" spans="1:18" s="8" customFormat="1" ht="15.75" customHeight="1">
      <c r="A125" s="198" t="s">
        <v>751</v>
      </c>
      <c r="B125" s="313">
        <v>7260100260</v>
      </c>
      <c r="C125" s="195" t="s">
        <v>766</v>
      </c>
      <c r="D125" s="478" t="s">
        <v>774</v>
      </c>
      <c r="E125" s="471" t="s">
        <v>104</v>
      </c>
      <c r="F125" s="201">
        <v>400</v>
      </c>
      <c r="G125" s="276">
        <f t="shared" si="15"/>
        <v>606.36</v>
      </c>
      <c r="H125" s="202">
        <f t="shared" si="17"/>
        <v>242544</v>
      </c>
      <c r="I125" s="203">
        <f t="shared" si="14"/>
        <v>0.0061</v>
      </c>
      <c r="J125">
        <v>491.7</v>
      </c>
      <c r="K125" s="293"/>
      <c r="L125" s="22"/>
      <c r="M125" s="226">
        <f>(4*2)*F125</f>
        <v>3200</v>
      </c>
      <c r="N125" s="226"/>
      <c r="O125" s="202"/>
      <c r="P125" s="225"/>
      <c r="Q125" s="225"/>
      <c r="R125" s="249"/>
    </row>
    <row r="126" spans="1:18" s="8" customFormat="1" ht="15.75" customHeight="1">
      <c r="A126" s="198" t="s">
        <v>752</v>
      </c>
      <c r="B126" s="313">
        <v>7200100340</v>
      </c>
      <c r="C126" s="195" t="s">
        <v>766</v>
      </c>
      <c r="D126" s="470" t="s">
        <v>762</v>
      </c>
      <c r="E126" s="471" t="s">
        <v>112</v>
      </c>
      <c r="F126" s="201">
        <v>1000</v>
      </c>
      <c r="G126" s="276">
        <f t="shared" si="15"/>
        <v>129.03</v>
      </c>
      <c r="H126" s="202">
        <f t="shared" si="17"/>
        <v>129030</v>
      </c>
      <c r="I126" s="203">
        <f t="shared" si="14"/>
        <v>0.0033</v>
      </c>
      <c r="J126">
        <v>104.63</v>
      </c>
      <c r="K126" s="293"/>
      <c r="L126" s="22"/>
      <c r="M126" s="226"/>
      <c r="N126" s="226"/>
      <c r="O126" s="202"/>
      <c r="P126" s="225"/>
      <c r="Q126" s="225"/>
      <c r="R126" s="249"/>
    </row>
    <row r="127" spans="1:18" s="8" customFormat="1" ht="15.75" customHeight="1">
      <c r="A127" s="198" t="s">
        <v>753</v>
      </c>
      <c r="B127" s="313">
        <v>7200100350</v>
      </c>
      <c r="C127" s="195" t="s">
        <v>766</v>
      </c>
      <c r="D127" s="470" t="s">
        <v>763</v>
      </c>
      <c r="E127" s="471" t="s">
        <v>112</v>
      </c>
      <c r="F127" s="201">
        <v>500</v>
      </c>
      <c r="G127" s="276">
        <f t="shared" si="15"/>
        <v>105.99</v>
      </c>
      <c r="H127" s="202">
        <f t="shared" si="17"/>
        <v>52995</v>
      </c>
      <c r="I127" s="203">
        <f t="shared" si="14"/>
        <v>0.0013</v>
      </c>
      <c r="J127">
        <v>85.95</v>
      </c>
      <c r="K127" s="293"/>
      <c r="L127" s="22"/>
      <c r="M127" s="226"/>
      <c r="N127" s="226"/>
      <c r="O127" s="202"/>
      <c r="P127" s="225"/>
      <c r="Q127" s="225"/>
      <c r="R127" s="249"/>
    </row>
    <row r="128" spans="1:18" s="8" customFormat="1" ht="15.75" customHeight="1">
      <c r="A128" s="198" t="s">
        <v>754</v>
      </c>
      <c r="B128" s="313">
        <v>7200100040</v>
      </c>
      <c r="C128" s="195" t="s">
        <v>766</v>
      </c>
      <c r="D128" s="479" t="s">
        <v>775</v>
      </c>
      <c r="E128" s="471" t="s">
        <v>112</v>
      </c>
      <c r="F128" s="201">
        <v>500</v>
      </c>
      <c r="G128" s="276">
        <f t="shared" si="15"/>
        <v>1257.51</v>
      </c>
      <c r="H128" s="202">
        <f t="shared" si="17"/>
        <v>628755</v>
      </c>
      <c r="I128" s="203">
        <f t="shared" si="14"/>
        <v>0.0159</v>
      </c>
      <c r="J128" s="473">
        <v>1019.71</v>
      </c>
      <c r="K128" s="293"/>
      <c r="L128" s="22"/>
      <c r="M128" s="226"/>
      <c r="N128" s="226"/>
      <c r="O128" s="202"/>
      <c r="P128" s="225"/>
      <c r="Q128" s="225"/>
      <c r="R128" s="249"/>
    </row>
    <row r="129" spans="1:18" s="8" customFormat="1" ht="15.75" customHeight="1">
      <c r="A129" s="198" t="s">
        <v>755</v>
      </c>
      <c r="B129" s="313">
        <v>7200100100</v>
      </c>
      <c r="C129" s="195" t="s">
        <v>766</v>
      </c>
      <c r="D129" s="479" t="s">
        <v>776</v>
      </c>
      <c r="E129" s="471" t="s">
        <v>112</v>
      </c>
      <c r="F129" s="201">
        <v>500</v>
      </c>
      <c r="G129" s="276">
        <f t="shared" si="15"/>
        <v>670.5</v>
      </c>
      <c r="H129" s="202">
        <f t="shared" si="17"/>
        <v>335250</v>
      </c>
      <c r="I129" s="203">
        <f t="shared" si="14"/>
        <v>0.0085</v>
      </c>
      <c r="J129">
        <v>543.71</v>
      </c>
      <c r="K129" s="293"/>
      <c r="L129" s="22"/>
      <c r="M129" s="226"/>
      <c r="N129" s="226"/>
      <c r="O129" s="202"/>
      <c r="P129" s="225"/>
      <c r="Q129" s="225"/>
      <c r="R129" s="249"/>
    </row>
    <row r="130" spans="1:18" s="8" customFormat="1" ht="15.75" customHeight="1">
      <c r="A130" s="198" t="s">
        <v>756</v>
      </c>
      <c r="B130" s="313">
        <v>7250100180</v>
      </c>
      <c r="C130" s="195" t="s">
        <v>766</v>
      </c>
      <c r="D130" s="479" t="s">
        <v>777</v>
      </c>
      <c r="E130" s="471" t="s">
        <v>104</v>
      </c>
      <c r="F130" s="201">
        <v>1500</v>
      </c>
      <c r="G130" s="276">
        <f t="shared" si="15"/>
        <v>195.36</v>
      </c>
      <c r="H130" s="202">
        <f t="shared" si="17"/>
        <v>293040</v>
      </c>
      <c r="I130" s="203">
        <f t="shared" si="14"/>
        <v>0.0074</v>
      </c>
      <c r="J130">
        <v>158.42</v>
      </c>
      <c r="K130" s="293"/>
      <c r="L130" s="22"/>
      <c r="M130" s="226"/>
      <c r="N130" s="226"/>
      <c r="O130" s="202"/>
      <c r="P130" s="225"/>
      <c r="Q130" s="225"/>
      <c r="R130" s="249"/>
    </row>
    <row r="131" spans="1:18" s="8" customFormat="1" ht="15.75" customHeight="1">
      <c r="A131" s="198" t="s">
        <v>765</v>
      </c>
      <c r="B131" s="313">
        <v>7050100010</v>
      </c>
      <c r="C131" s="195" t="s">
        <v>766</v>
      </c>
      <c r="D131" s="470" t="s">
        <v>764</v>
      </c>
      <c r="E131" s="471" t="s">
        <v>22</v>
      </c>
      <c r="F131" s="201">
        <v>17400</v>
      </c>
      <c r="G131" s="276">
        <f t="shared" si="15"/>
        <v>16.81</v>
      </c>
      <c r="H131" s="202">
        <f t="shared" si="17"/>
        <v>292494</v>
      </c>
      <c r="I131" s="203">
        <f t="shared" si="14"/>
        <v>0.0074</v>
      </c>
      <c r="J131" s="472">
        <v>13.63</v>
      </c>
      <c r="K131" s="293"/>
      <c r="L131" s="22"/>
      <c r="M131" s="226"/>
      <c r="N131" s="226"/>
      <c r="O131" s="202"/>
      <c r="P131" s="225"/>
      <c r="Q131" s="225"/>
      <c r="R131" s="249"/>
    </row>
    <row r="132" spans="1:18" s="8" customFormat="1" ht="15.75" customHeight="1">
      <c r="A132" s="593" t="s">
        <v>603</v>
      </c>
      <c r="B132" s="594"/>
      <c r="C132" s="594"/>
      <c r="D132" s="594"/>
      <c r="E132" s="594"/>
      <c r="F132" s="594"/>
      <c r="G132" s="595"/>
      <c r="H132" s="216">
        <f>SUM(H112:H131)</f>
        <v>3990952</v>
      </c>
      <c r="I132" s="217">
        <f>SUM(I112:I131)</f>
        <v>0.101</v>
      </c>
      <c r="J132" s="293"/>
      <c r="K132" s="293"/>
      <c r="L132" s="22"/>
      <c r="M132" s="226"/>
      <c r="N132" s="226"/>
      <c r="O132" s="202"/>
      <c r="P132" s="225"/>
      <c r="Q132" s="225"/>
      <c r="R132" s="249"/>
    </row>
    <row r="133" spans="1:18" s="8" customFormat="1" ht="4.5" customHeight="1">
      <c r="A133" s="596"/>
      <c r="B133" s="597"/>
      <c r="C133" s="597"/>
      <c r="D133" s="597"/>
      <c r="E133" s="597"/>
      <c r="F133" s="597"/>
      <c r="G133" s="597"/>
      <c r="H133" s="597"/>
      <c r="I133" s="598"/>
      <c r="J133" s="293"/>
      <c r="K133" s="293"/>
      <c r="L133" s="22"/>
      <c r="M133" s="226"/>
      <c r="N133" s="226"/>
      <c r="O133" s="202"/>
      <c r="P133" s="225"/>
      <c r="Q133" s="225"/>
      <c r="R133" s="249"/>
    </row>
    <row r="134" spans="1:18" s="8" customFormat="1" ht="14.25">
      <c r="A134" s="210" t="s">
        <v>736</v>
      </c>
      <c r="B134" s="211" t="s">
        <v>118</v>
      </c>
      <c r="C134" s="211"/>
      <c r="D134" s="212"/>
      <c r="E134" s="341"/>
      <c r="F134" s="213"/>
      <c r="G134" s="213"/>
      <c r="H134" s="214"/>
      <c r="I134" s="215"/>
      <c r="J134" s="297"/>
      <c r="K134" s="297"/>
      <c r="L134" s="22"/>
      <c r="M134" s="226"/>
      <c r="N134" s="226"/>
      <c r="O134" s="202">
        <f>N134*1.0875</f>
        <v>0</v>
      </c>
      <c r="P134" s="225"/>
      <c r="Q134" s="225">
        <f>P134*1.1735</f>
        <v>0</v>
      </c>
      <c r="R134" s="249">
        <f>(M134+O134+Q134)*1.2332</f>
        <v>0</v>
      </c>
    </row>
    <row r="135" spans="1:18" s="8" customFormat="1" ht="12.75" customHeight="1">
      <c r="A135" s="198" t="s">
        <v>738</v>
      </c>
      <c r="B135" s="204" t="s">
        <v>520</v>
      </c>
      <c r="C135" s="195" t="s">
        <v>85</v>
      </c>
      <c r="D135" s="205" t="s">
        <v>521</v>
      </c>
      <c r="E135" s="339" t="s">
        <v>39</v>
      </c>
      <c r="F135" s="201">
        <v>4752</v>
      </c>
      <c r="G135" s="276">
        <v>224.36</v>
      </c>
      <c r="H135" s="202">
        <f aca="true" t="shared" si="18" ref="H135:H140">F135*G135</f>
        <v>1066158.72</v>
      </c>
      <c r="I135" s="203">
        <f aca="true" t="shared" si="19" ref="I135:I140">H135/$H$223</f>
        <v>0.0269</v>
      </c>
      <c r="J135" s="293"/>
      <c r="K135" s="293"/>
      <c r="L135" s="22"/>
      <c r="M135" s="226"/>
      <c r="N135" s="226"/>
      <c r="O135" s="202">
        <f>N135*1.0875</f>
        <v>0</v>
      </c>
      <c r="P135" s="225"/>
      <c r="Q135" s="225">
        <f>P135*1.1735</f>
        <v>0</v>
      </c>
      <c r="R135" s="249">
        <f>(M135+O135+Q135)*1.2332</f>
        <v>0</v>
      </c>
    </row>
    <row r="136" spans="1:18" s="8" customFormat="1" ht="12.75" customHeight="1">
      <c r="A136" s="198" t="s">
        <v>739</v>
      </c>
      <c r="B136" s="204" t="s">
        <v>541</v>
      </c>
      <c r="C136" s="195" t="s">
        <v>85</v>
      </c>
      <c r="D136" s="314" t="s">
        <v>540</v>
      </c>
      <c r="E136" s="339" t="s">
        <v>39</v>
      </c>
      <c r="F136" s="201">
        <v>2376</v>
      </c>
      <c r="G136" s="276">
        <v>203.6</v>
      </c>
      <c r="H136" s="202">
        <f t="shared" si="18"/>
        <v>483753.6</v>
      </c>
      <c r="I136" s="203">
        <f t="shared" si="19"/>
        <v>0.0122</v>
      </c>
      <c r="J136" s="293"/>
      <c r="K136" s="293"/>
      <c r="L136" s="22"/>
      <c r="M136" s="226"/>
      <c r="N136" s="226"/>
      <c r="O136" s="202"/>
      <c r="P136" s="225"/>
      <c r="Q136" s="225"/>
      <c r="R136" s="249"/>
    </row>
    <row r="137" spans="1:18" s="8" customFormat="1" ht="12.75" customHeight="1">
      <c r="A137" s="198" t="s">
        <v>740</v>
      </c>
      <c r="B137" s="204" t="s">
        <v>522</v>
      </c>
      <c r="C137" s="195" t="s">
        <v>85</v>
      </c>
      <c r="D137" s="205" t="s">
        <v>114</v>
      </c>
      <c r="E137" s="339" t="s">
        <v>39</v>
      </c>
      <c r="F137" s="201">
        <v>2376</v>
      </c>
      <c r="G137" s="276">
        <v>131.14</v>
      </c>
      <c r="H137" s="202">
        <f t="shared" si="18"/>
        <v>311588.64</v>
      </c>
      <c r="I137" s="203">
        <f t="shared" si="19"/>
        <v>0.0079</v>
      </c>
      <c r="J137" s="293"/>
      <c r="K137" s="293"/>
      <c r="L137" s="22"/>
      <c r="M137" s="226"/>
      <c r="N137" s="226"/>
      <c r="O137" s="202">
        <f>N137*1.0875</f>
        <v>0</v>
      </c>
      <c r="P137" s="225"/>
      <c r="Q137" s="225">
        <f>P137*1.1735</f>
        <v>0</v>
      </c>
      <c r="R137" s="249">
        <f>(M137+O137+Q137)*1.2332</f>
        <v>0</v>
      </c>
    </row>
    <row r="138" spans="1:18" s="8" customFormat="1" ht="12" customHeight="1">
      <c r="A138" s="198" t="s">
        <v>741</v>
      </c>
      <c r="B138" s="204" t="s">
        <v>543</v>
      </c>
      <c r="C138" s="195" t="s">
        <v>85</v>
      </c>
      <c r="D138" s="315" t="s">
        <v>542</v>
      </c>
      <c r="E138" s="339" t="s">
        <v>39</v>
      </c>
      <c r="F138" s="201">
        <v>2376</v>
      </c>
      <c r="G138" s="276">
        <v>363.71</v>
      </c>
      <c r="H138" s="202">
        <f t="shared" si="18"/>
        <v>864174.96</v>
      </c>
      <c r="I138" s="203">
        <f t="shared" si="19"/>
        <v>0.0218</v>
      </c>
      <c r="J138" s="293"/>
      <c r="K138" s="293"/>
      <c r="L138" s="22"/>
      <c r="M138" s="226"/>
      <c r="N138" s="226"/>
      <c r="O138" s="202"/>
      <c r="P138" s="225"/>
      <c r="Q138" s="225"/>
      <c r="R138" s="249"/>
    </row>
    <row r="139" spans="1:18" s="8" customFormat="1" ht="12" customHeight="1">
      <c r="A139" s="198" t="s">
        <v>742</v>
      </c>
      <c r="B139" s="204" t="s">
        <v>523</v>
      </c>
      <c r="C139" s="195" t="s">
        <v>85</v>
      </c>
      <c r="D139" s="205" t="s">
        <v>601</v>
      </c>
      <c r="E139" s="339" t="s">
        <v>39</v>
      </c>
      <c r="F139" s="201">
        <v>2376</v>
      </c>
      <c r="G139" s="276">
        <v>209.68</v>
      </c>
      <c r="H139" s="202">
        <f t="shared" si="18"/>
        <v>498199.68</v>
      </c>
      <c r="I139" s="203">
        <f t="shared" si="19"/>
        <v>0.0126</v>
      </c>
      <c r="J139" s="293"/>
      <c r="K139" s="293"/>
      <c r="L139" s="22"/>
      <c r="M139" s="226"/>
      <c r="N139" s="226"/>
      <c r="O139" s="202">
        <f aca="true" t="shared" si="20" ref="O139:O160">N139*1.0875</f>
        <v>0</v>
      </c>
      <c r="P139" s="225"/>
      <c r="Q139" s="225">
        <f aca="true" t="shared" si="21" ref="Q139:Q161">P139*1.1735</f>
        <v>0</v>
      </c>
      <c r="R139" s="249">
        <f aca="true" t="shared" si="22" ref="R139:R163">(M139+O139+Q139)*1.2332</f>
        <v>0</v>
      </c>
    </row>
    <row r="140" spans="1:18" s="8" customFormat="1" ht="12.75" customHeight="1">
      <c r="A140" s="198" t="s">
        <v>743</v>
      </c>
      <c r="B140" s="312" t="s">
        <v>722</v>
      </c>
      <c r="C140" s="305" t="s">
        <v>21</v>
      </c>
      <c r="D140" s="283" t="s">
        <v>197</v>
      </c>
      <c r="E140" s="339" t="s">
        <v>39</v>
      </c>
      <c r="F140" s="201">
        <v>4752</v>
      </c>
      <c r="G140" s="276">
        <v>37.07</v>
      </c>
      <c r="H140" s="202">
        <f t="shared" si="18"/>
        <v>176156.64</v>
      </c>
      <c r="I140" s="203">
        <f t="shared" si="19"/>
        <v>0.0044</v>
      </c>
      <c r="J140" s="293"/>
      <c r="K140" s="293"/>
      <c r="L140" s="22"/>
      <c r="M140" s="226"/>
      <c r="N140" s="226"/>
      <c r="O140" s="202">
        <f t="shared" si="20"/>
        <v>0</v>
      </c>
      <c r="P140" s="225"/>
      <c r="Q140" s="225">
        <f t="shared" si="21"/>
        <v>0</v>
      </c>
      <c r="R140" s="249">
        <f t="shared" si="22"/>
        <v>0</v>
      </c>
    </row>
    <row r="141" spans="1:18" s="8" customFormat="1" ht="18" customHeight="1">
      <c r="A141" s="593" t="s">
        <v>737</v>
      </c>
      <c r="B141" s="594"/>
      <c r="C141" s="594"/>
      <c r="D141" s="594"/>
      <c r="E141" s="594"/>
      <c r="F141" s="594"/>
      <c r="G141" s="595"/>
      <c r="H141" s="216">
        <f>SUM(H135:H140)</f>
        <v>3400032.24</v>
      </c>
      <c r="I141" s="217">
        <f>SUM(I135:I140)</f>
        <v>0.0858</v>
      </c>
      <c r="J141" s="295"/>
      <c r="K141" s="295"/>
      <c r="L141" s="20"/>
      <c r="M141" s="201"/>
      <c r="N141" s="201"/>
      <c r="O141" s="202">
        <f t="shared" si="20"/>
        <v>0</v>
      </c>
      <c r="P141" s="225"/>
      <c r="Q141" s="225">
        <f t="shared" si="21"/>
        <v>0</v>
      </c>
      <c r="R141" s="249">
        <f t="shared" si="22"/>
        <v>0</v>
      </c>
    </row>
    <row r="142" spans="1:18" s="8" customFormat="1" ht="4.5" customHeight="1">
      <c r="A142" s="206"/>
      <c r="B142" s="207"/>
      <c r="C142" s="207"/>
      <c r="D142" s="207"/>
      <c r="E142" s="352"/>
      <c r="F142" s="207"/>
      <c r="G142" s="207"/>
      <c r="H142" s="208"/>
      <c r="I142" s="209"/>
      <c r="J142" s="295"/>
      <c r="K142" s="295"/>
      <c r="L142" s="69"/>
      <c r="M142" s="201"/>
      <c r="N142" s="201"/>
      <c r="O142" s="202">
        <f t="shared" si="20"/>
        <v>0</v>
      </c>
      <c r="P142" s="227"/>
      <c r="Q142" s="225">
        <f t="shared" si="21"/>
        <v>0</v>
      </c>
      <c r="R142" s="249">
        <f t="shared" si="22"/>
        <v>0</v>
      </c>
    </row>
    <row r="143" spans="1:18" s="8" customFormat="1" ht="18" customHeight="1">
      <c r="A143" s="65" t="s">
        <v>147</v>
      </c>
      <c r="B143" s="66" t="s">
        <v>121</v>
      </c>
      <c r="C143" s="62"/>
      <c r="D143" s="62"/>
      <c r="E143" s="349"/>
      <c r="F143" s="62"/>
      <c r="G143" s="62"/>
      <c r="H143" s="62"/>
      <c r="I143" s="259"/>
      <c r="J143" s="287"/>
      <c r="K143" s="287"/>
      <c r="L143" s="69"/>
      <c r="M143" s="201"/>
      <c r="N143" s="201"/>
      <c r="O143" s="202">
        <f t="shared" si="20"/>
        <v>0</v>
      </c>
      <c r="P143" s="225"/>
      <c r="Q143" s="225">
        <f t="shared" si="21"/>
        <v>0</v>
      </c>
      <c r="R143" s="249">
        <f t="shared" si="22"/>
        <v>0</v>
      </c>
    </row>
    <row r="144" spans="1:18" s="8" customFormat="1" ht="12" customHeight="1">
      <c r="A144" s="198" t="s">
        <v>162</v>
      </c>
      <c r="B144" s="204" t="s">
        <v>524</v>
      </c>
      <c r="C144" s="195" t="s">
        <v>85</v>
      </c>
      <c r="D144" s="199" t="s">
        <v>525</v>
      </c>
      <c r="E144" s="344" t="s">
        <v>22</v>
      </c>
      <c r="F144" s="226">
        <v>8000</v>
      </c>
      <c r="G144" s="276">
        <v>23.45</v>
      </c>
      <c r="H144" s="202">
        <f aca="true" t="shared" si="23" ref="H144:H151">F144*G144</f>
        <v>187600</v>
      </c>
      <c r="I144" s="203">
        <f aca="true" t="shared" si="24" ref="I144:I152">H144/$H$223</f>
        <v>0.0047</v>
      </c>
      <c r="J144" s="293"/>
      <c r="K144" s="293"/>
      <c r="L144" s="69"/>
      <c r="M144" s="201"/>
      <c r="N144" s="201"/>
      <c r="O144" s="202">
        <f t="shared" si="20"/>
        <v>0</v>
      </c>
      <c r="P144" s="225"/>
      <c r="Q144" s="225">
        <f t="shared" si="21"/>
        <v>0</v>
      </c>
      <c r="R144" s="249">
        <f t="shared" si="22"/>
        <v>0</v>
      </c>
    </row>
    <row r="145" spans="1:18" s="8" customFormat="1" ht="12" customHeight="1">
      <c r="A145" s="198" t="s">
        <v>163</v>
      </c>
      <c r="B145" s="204" t="s">
        <v>526</v>
      </c>
      <c r="C145" s="195" t="s">
        <v>85</v>
      </c>
      <c r="D145" s="205" t="s">
        <v>527</v>
      </c>
      <c r="E145" s="344" t="s">
        <v>22</v>
      </c>
      <c r="F145" s="200">
        <v>1500</v>
      </c>
      <c r="G145" s="276">
        <v>108.8</v>
      </c>
      <c r="H145" s="202">
        <f t="shared" si="23"/>
        <v>163200</v>
      </c>
      <c r="I145" s="203">
        <f t="shared" si="24"/>
        <v>0.0041</v>
      </c>
      <c r="J145" s="293"/>
      <c r="K145" s="293"/>
      <c r="L145" s="69"/>
      <c r="M145" s="201"/>
      <c r="N145" s="201"/>
      <c r="O145" s="202">
        <f t="shared" si="20"/>
        <v>0</v>
      </c>
      <c r="P145" s="225"/>
      <c r="Q145" s="225">
        <f t="shared" si="21"/>
        <v>0</v>
      </c>
      <c r="R145" s="249">
        <f t="shared" si="22"/>
        <v>0</v>
      </c>
    </row>
    <row r="146" spans="1:25" s="8" customFormat="1" ht="12" customHeight="1">
      <c r="A146" s="198" t="s">
        <v>164</v>
      </c>
      <c r="B146" s="195">
        <v>40936</v>
      </c>
      <c r="C146" s="195" t="s">
        <v>85</v>
      </c>
      <c r="D146" s="199" t="s">
        <v>122</v>
      </c>
      <c r="E146" s="344" t="s">
        <v>22</v>
      </c>
      <c r="F146" s="200">
        <v>200</v>
      </c>
      <c r="G146" s="276">
        <v>842.76</v>
      </c>
      <c r="H146" s="202">
        <f t="shared" si="23"/>
        <v>168552</v>
      </c>
      <c r="I146" s="220">
        <f t="shared" si="24"/>
        <v>0.0043</v>
      </c>
      <c r="J146" s="294"/>
      <c r="K146" s="294"/>
      <c r="L146" s="69"/>
      <c r="M146" s="201"/>
      <c r="N146" s="201"/>
      <c r="O146" s="202">
        <f t="shared" si="20"/>
        <v>0</v>
      </c>
      <c r="P146" s="225">
        <v>657.12</v>
      </c>
      <c r="Q146" s="225">
        <f t="shared" si="21"/>
        <v>771.13</v>
      </c>
      <c r="R146" s="248">
        <f t="shared" si="22"/>
        <v>950.96</v>
      </c>
      <c r="Y146" s="8">
        <f>16*22</f>
        <v>352</v>
      </c>
    </row>
    <row r="147" spans="1:25" s="8" customFormat="1" ht="25.5">
      <c r="A147" s="198" t="s">
        <v>165</v>
      </c>
      <c r="B147" s="195">
        <v>41222</v>
      </c>
      <c r="C147" s="195" t="s">
        <v>85</v>
      </c>
      <c r="D147" s="199" t="s">
        <v>123</v>
      </c>
      <c r="E147" s="344" t="s">
        <v>112</v>
      </c>
      <c r="F147" s="200">
        <v>200</v>
      </c>
      <c r="G147" s="276">
        <v>97.32</v>
      </c>
      <c r="H147" s="202">
        <f t="shared" si="23"/>
        <v>19464</v>
      </c>
      <c r="I147" s="220">
        <f t="shared" si="24"/>
        <v>0.0005</v>
      </c>
      <c r="J147" s="294"/>
      <c r="K147" s="294"/>
      <c r="L147" s="69"/>
      <c r="M147" s="201"/>
      <c r="N147" s="201"/>
      <c r="O147" s="202">
        <f t="shared" si="20"/>
        <v>0</v>
      </c>
      <c r="P147" s="225">
        <v>88.75</v>
      </c>
      <c r="Q147" s="225">
        <f t="shared" si="21"/>
        <v>104.15</v>
      </c>
      <c r="R147" s="248">
        <f t="shared" si="22"/>
        <v>128.44</v>
      </c>
      <c r="Y147" s="8">
        <f>Y146*12</f>
        <v>4224</v>
      </c>
    </row>
    <row r="148" spans="1:18" s="8" customFormat="1" ht="14.25">
      <c r="A148" s="198" t="s">
        <v>166</v>
      </c>
      <c r="B148" s="204" t="s">
        <v>528</v>
      </c>
      <c r="C148" s="195" t="s">
        <v>85</v>
      </c>
      <c r="D148" s="205" t="s">
        <v>529</v>
      </c>
      <c r="E148" s="344" t="s">
        <v>126</v>
      </c>
      <c r="F148" s="200">
        <v>3000</v>
      </c>
      <c r="G148" s="276">
        <v>27.9</v>
      </c>
      <c r="H148" s="202">
        <f t="shared" si="23"/>
        <v>83700</v>
      </c>
      <c r="I148" s="203">
        <f t="shared" si="24"/>
        <v>0.0021</v>
      </c>
      <c r="J148" s="293"/>
      <c r="K148" s="293"/>
      <c r="L148" s="69"/>
      <c r="M148" s="201"/>
      <c r="N148" s="201"/>
      <c r="O148" s="202">
        <f t="shared" si="20"/>
        <v>0</v>
      </c>
      <c r="P148" s="225"/>
      <c r="Q148" s="225">
        <f t="shared" si="21"/>
        <v>0</v>
      </c>
      <c r="R148" s="248">
        <f t="shared" si="22"/>
        <v>0</v>
      </c>
    </row>
    <row r="149" spans="1:18" s="8" customFormat="1" ht="11.25" customHeight="1">
      <c r="A149" s="198" t="s">
        <v>167</v>
      </c>
      <c r="B149" s="204" t="s">
        <v>530</v>
      </c>
      <c r="C149" s="195" t="s">
        <v>85</v>
      </c>
      <c r="D149" s="199" t="s">
        <v>531</v>
      </c>
      <c r="E149" s="344" t="s">
        <v>126</v>
      </c>
      <c r="F149" s="200">
        <v>3000</v>
      </c>
      <c r="G149" s="276">
        <v>68.01</v>
      </c>
      <c r="H149" s="202">
        <f t="shared" si="23"/>
        <v>204030</v>
      </c>
      <c r="I149" s="220">
        <f t="shared" si="24"/>
        <v>0.0052</v>
      </c>
      <c r="J149" s="294"/>
      <c r="K149" s="294"/>
      <c r="L149" s="69"/>
      <c r="M149" s="201"/>
      <c r="N149" s="201"/>
      <c r="O149" s="202">
        <f t="shared" si="20"/>
        <v>0</v>
      </c>
      <c r="P149" s="225"/>
      <c r="Q149" s="225">
        <f t="shared" si="21"/>
        <v>0</v>
      </c>
      <c r="R149" s="248">
        <f t="shared" si="22"/>
        <v>0</v>
      </c>
    </row>
    <row r="150" spans="1:18" s="8" customFormat="1" ht="11.25" customHeight="1">
      <c r="A150" s="198" t="s">
        <v>168</v>
      </c>
      <c r="B150" s="195">
        <v>42046</v>
      </c>
      <c r="C150" s="195" t="s">
        <v>85</v>
      </c>
      <c r="D150" s="199" t="s">
        <v>420</v>
      </c>
      <c r="E150" s="344" t="s">
        <v>112</v>
      </c>
      <c r="F150" s="200">
        <v>850</v>
      </c>
      <c r="G150" s="276">
        <v>150.77</v>
      </c>
      <c r="H150" s="202">
        <f t="shared" si="23"/>
        <v>128154.5</v>
      </c>
      <c r="I150" s="272">
        <f t="shared" si="24"/>
        <v>0.0032</v>
      </c>
      <c r="J150" s="298"/>
      <c r="K150" s="298"/>
      <c r="L150" s="69"/>
      <c r="M150" s="201"/>
      <c r="N150" s="201"/>
      <c r="O150" s="202">
        <f t="shared" si="20"/>
        <v>0</v>
      </c>
      <c r="P150" s="225">
        <v>131.22</v>
      </c>
      <c r="Q150" s="225">
        <f t="shared" si="21"/>
        <v>153.99</v>
      </c>
      <c r="R150" s="248">
        <f t="shared" si="22"/>
        <v>189.9</v>
      </c>
    </row>
    <row r="151" spans="1:18" s="8" customFormat="1" ht="12" customHeight="1">
      <c r="A151" s="198" t="s">
        <v>169</v>
      </c>
      <c r="B151" s="195">
        <v>41359</v>
      </c>
      <c r="C151" s="195" t="s">
        <v>424</v>
      </c>
      <c r="D151" s="199" t="s">
        <v>124</v>
      </c>
      <c r="E151" s="344" t="s">
        <v>104</v>
      </c>
      <c r="F151" s="200">
        <v>10000</v>
      </c>
      <c r="G151" s="276">
        <v>24.76</v>
      </c>
      <c r="H151" s="202">
        <f t="shared" si="23"/>
        <v>247600</v>
      </c>
      <c r="I151" s="203">
        <f t="shared" si="24"/>
        <v>0.0063</v>
      </c>
      <c r="J151" s="293"/>
      <c r="K151" s="293"/>
      <c r="L151" s="69"/>
      <c r="M151" s="201"/>
      <c r="N151" s="201"/>
      <c r="O151" s="202">
        <f t="shared" si="20"/>
        <v>0</v>
      </c>
      <c r="P151" s="225"/>
      <c r="Q151" s="225">
        <f t="shared" si="21"/>
        <v>0</v>
      </c>
      <c r="R151" s="248">
        <f t="shared" si="22"/>
        <v>0</v>
      </c>
    </row>
    <row r="152" spans="1:18" s="8" customFormat="1" ht="12.75" customHeight="1">
      <c r="A152" s="198" t="s">
        <v>170</v>
      </c>
      <c r="B152" s="195">
        <v>42047</v>
      </c>
      <c r="C152" s="195" t="s">
        <v>424</v>
      </c>
      <c r="D152" s="273" t="s">
        <v>532</v>
      </c>
      <c r="E152" s="345" t="s">
        <v>22</v>
      </c>
      <c r="F152" s="318">
        <v>250</v>
      </c>
      <c r="G152" s="276">
        <v>46.67</v>
      </c>
      <c r="H152" s="202">
        <f>F152*G152</f>
        <v>11667.5</v>
      </c>
      <c r="I152" s="220">
        <f t="shared" si="24"/>
        <v>0.0003</v>
      </c>
      <c r="J152" s="294"/>
      <c r="K152" s="294"/>
      <c r="L152" s="69"/>
      <c r="M152" s="201"/>
      <c r="N152" s="201">
        <v>44.24</v>
      </c>
      <c r="O152" s="202">
        <f t="shared" si="20"/>
        <v>48.11</v>
      </c>
      <c r="P152" s="225"/>
      <c r="Q152" s="225">
        <f t="shared" si="21"/>
        <v>0</v>
      </c>
      <c r="R152" s="248">
        <f t="shared" si="22"/>
        <v>59.33</v>
      </c>
    </row>
    <row r="153" spans="1:18" s="8" customFormat="1" ht="18" customHeight="1">
      <c r="A153" s="582" t="s">
        <v>172</v>
      </c>
      <c r="B153" s="583"/>
      <c r="C153" s="583"/>
      <c r="D153" s="583"/>
      <c r="E153" s="583"/>
      <c r="F153" s="583"/>
      <c r="G153" s="584"/>
      <c r="H153" s="55">
        <f>SUM(H144:H152)</f>
        <v>1213968</v>
      </c>
      <c r="I153" s="48">
        <f>SUM(I144:I152)</f>
        <v>0.0307</v>
      </c>
      <c r="J153" s="295"/>
      <c r="K153" s="295"/>
      <c r="L153" s="69"/>
      <c r="M153" s="201"/>
      <c r="N153" s="201"/>
      <c r="O153" s="202">
        <f t="shared" si="20"/>
        <v>0</v>
      </c>
      <c r="P153" s="225"/>
      <c r="Q153" s="225">
        <f t="shared" si="21"/>
        <v>0</v>
      </c>
      <c r="R153" s="249">
        <f t="shared" si="22"/>
        <v>0</v>
      </c>
    </row>
    <row r="154" spans="1:18" s="8" customFormat="1" ht="4.5" customHeight="1">
      <c r="A154" s="70"/>
      <c r="B154" s="71"/>
      <c r="C154" s="71"/>
      <c r="D154" s="71"/>
      <c r="E154" s="350"/>
      <c r="F154" s="71"/>
      <c r="G154" s="71"/>
      <c r="H154" s="72"/>
      <c r="I154" s="73"/>
      <c r="J154" s="295"/>
      <c r="K154" s="295"/>
      <c r="L154" s="69"/>
      <c r="M154" s="201"/>
      <c r="N154" s="201"/>
      <c r="O154" s="202">
        <f t="shared" si="20"/>
        <v>0</v>
      </c>
      <c r="P154" s="225"/>
      <c r="Q154" s="225">
        <f t="shared" si="21"/>
        <v>0</v>
      </c>
      <c r="R154" s="249">
        <f t="shared" si="22"/>
        <v>0</v>
      </c>
    </row>
    <row r="155" spans="1:18" s="8" customFormat="1" ht="18" customHeight="1">
      <c r="A155" s="65" t="s">
        <v>173</v>
      </c>
      <c r="B155" s="66" t="s">
        <v>130</v>
      </c>
      <c r="C155" s="62"/>
      <c r="D155" s="62"/>
      <c r="E155" s="349"/>
      <c r="F155" s="62"/>
      <c r="G155" s="62"/>
      <c r="H155" s="62"/>
      <c r="I155" s="259"/>
      <c r="J155" s="287"/>
      <c r="K155" s="287"/>
      <c r="L155" s="69"/>
      <c r="M155" s="201"/>
      <c r="N155" s="201"/>
      <c r="O155" s="202">
        <f t="shared" si="20"/>
        <v>0</v>
      </c>
      <c r="P155" s="225"/>
      <c r="Q155" s="225">
        <f t="shared" si="21"/>
        <v>0</v>
      </c>
      <c r="R155" s="249">
        <f t="shared" si="22"/>
        <v>0</v>
      </c>
    </row>
    <row r="156" spans="1:18" s="8" customFormat="1" ht="12.75" customHeight="1">
      <c r="A156" s="198" t="s">
        <v>176</v>
      </c>
      <c r="B156" s="204" t="s">
        <v>533</v>
      </c>
      <c r="C156" s="195" t="s">
        <v>424</v>
      </c>
      <c r="D156" s="278" t="s">
        <v>534</v>
      </c>
      <c r="E156" s="346" t="s">
        <v>104</v>
      </c>
      <c r="F156" s="200">
        <v>300</v>
      </c>
      <c r="G156" s="276">
        <v>441.81</v>
      </c>
      <c r="H156" s="202">
        <f aca="true" t="shared" si="25" ref="H156:H162">F156*G156</f>
        <v>132543</v>
      </c>
      <c r="I156" s="203">
        <f aca="true" t="shared" si="26" ref="I156:I164">H156/$H$223</f>
        <v>0.0033</v>
      </c>
      <c r="J156" s="293"/>
      <c r="K156" s="293"/>
      <c r="L156" s="69"/>
      <c r="M156" s="201"/>
      <c r="N156" s="201"/>
      <c r="O156" s="202">
        <f t="shared" si="20"/>
        <v>0</v>
      </c>
      <c r="P156" s="225"/>
      <c r="Q156" s="225">
        <f t="shared" si="21"/>
        <v>0</v>
      </c>
      <c r="R156" s="249">
        <f t="shared" si="22"/>
        <v>0</v>
      </c>
    </row>
    <row r="157" spans="1:18" s="8" customFormat="1" ht="12" customHeight="1">
      <c r="A157" s="198" t="s">
        <v>395</v>
      </c>
      <c r="B157" s="204" t="s">
        <v>535</v>
      </c>
      <c r="C157" s="195" t="s">
        <v>424</v>
      </c>
      <c r="D157" s="283" t="s">
        <v>544</v>
      </c>
      <c r="E157" s="346" t="s">
        <v>23</v>
      </c>
      <c r="F157" s="200">
        <v>300</v>
      </c>
      <c r="G157" s="276">
        <v>352.31</v>
      </c>
      <c r="H157" s="202">
        <f t="shared" si="25"/>
        <v>105693</v>
      </c>
      <c r="I157" s="203">
        <f t="shared" si="26"/>
        <v>0.0027</v>
      </c>
      <c r="J157" s="293"/>
      <c r="K157" s="293"/>
      <c r="L157" s="69"/>
      <c r="M157" s="201"/>
      <c r="N157" s="201"/>
      <c r="O157" s="202">
        <f t="shared" si="20"/>
        <v>0</v>
      </c>
      <c r="P157" s="225"/>
      <c r="Q157" s="225">
        <f t="shared" si="21"/>
        <v>0</v>
      </c>
      <c r="R157" s="249">
        <f t="shared" si="22"/>
        <v>0</v>
      </c>
    </row>
    <row r="158" spans="1:18" s="8" customFormat="1" ht="14.25">
      <c r="A158" s="198" t="s">
        <v>396</v>
      </c>
      <c r="B158" s="313">
        <v>40360</v>
      </c>
      <c r="C158" s="195" t="s">
        <v>424</v>
      </c>
      <c r="D158" s="205" t="s">
        <v>598</v>
      </c>
      <c r="E158" s="344" t="s">
        <v>23</v>
      </c>
      <c r="F158" s="200">
        <v>250</v>
      </c>
      <c r="G158" s="276">
        <v>674.44</v>
      </c>
      <c r="H158" s="202">
        <f t="shared" si="25"/>
        <v>168610</v>
      </c>
      <c r="I158" s="203">
        <f t="shared" si="26"/>
        <v>0.0043</v>
      </c>
      <c r="J158" s="293"/>
      <c r="K158" s="293"/>
      <c r="L158" s="69"/>
      <c r="M158" s="201"/>
      <c r="N158" s="201"/>
      <c r="O158" s="202">
        <f t="shared" si="20"/>
        <v>0</v>
      </c>
      <c r="P158" s="225"/>
      <c r="Q158" s="225">
        <f t="shared" si="21"/>
        <v>0</v>
      </c>
      <c r="R158" s="249">
        <f t="shared" si="22"/>
        <v>0</v>
      </c>
    </row>
    <row r="159" spans="1:18" s="8" customFormat="1" ht="12" customHeight="1">
      <c r="A159" s="198" t="s">
        <v>397</v>
      </c>
      <c r="B159" s="313">
        <v>40376</v>
      </c>
      <c r="C159" s="195" t="s">
        <v>424</v>
      </c>
      <c r="D159" s="205" t="s">
        <v>599</v>
      </c>
      <c r="E159" s="344" t="s">
        <v>134</v>
      </c>
      <c r="F159" s="200">
        <v>4000</v>
      </c>
      <c r="G159" s="276">
        <v>19.87</v>
      </c>
      <c r="H159" s="202">
        <f t="shared" si="25"/>
        <v>79480</v>
      </c>
      <c r="I159" s="203">
        <f t="shared" si="26"/>
        <v>0.002</v>
      </c>
      <c r="J159" s="293"/>
      <c r="K159" s="293"/>
      <c r="L159" s="69"/>
      <c r="M159" s="201"/>
      <c r="N159" s="201"/>
      <c r="O159" s="202">
        <f t="shared" si="20"/>
        <v>0</v>
      </c>
      <c r="P159" s="225"/>
      <c r="Q159" s="225">
        <f t="shared" si="21"/>
        <v>0</v>
      </c>
      <c r="R159" s="249">
        <f t="shared" si="22"/>
        <v>0</v>
      </c>
    </row>
    <row r="160" spans="1:18" s="8" customFormat="1" ht="25.5">
      <c r="A160" s="198" t="s">
        <v>398</v>
      </c>
      <c r="B160" s="306">
        <v>40312</v>
      </c>
      <c r="C160" s="195" t="s">
        <v>424</v>
      </c>
      <c r="D160" s="199" t="s">
        <v>600</v>
      </c>
      <c r="E160" s="344" t="s">
        <v>22</v>
      </c>
      <c r="F160" s="200">
        <v>400</v>
      </c>
      <c r="G160" s="276">
        <v>102.72</v>
      </c>
      <c r="H160" s="202">
        <f t="shared" si="25"/>
        <v>41088</v>
      </c>
      <c r="I160" s="203">
        <f t="shared" si="26"/>
        <v>0.001</v>
      </c>
      <c r="J160" s="293"/>
      <c r="K160" s="293"/>
      <c r="L160" s="69"/>
      <c r="M160" s="201"/>
      <c r="N160" s="201"/>
      <c r="O160" s="202">
        <f t="shared" si="20"/>
        <v>0</v>
      </c>
      <c r="P160" s="225"/>
      <c r="Q160" s="225">
        <f t="shared" si="21"/>
        <v>0</v>
      </c>
      <c r="R160" s="249">
        <f t="shared" si="22"/>
        <v>0</v>
      </c>
    </row>
    <row r="161" spans="1:18" s="8" customFormat="1" ht="12" customHeight="1">
      <c r="A161" s="198" t="s">
        <v>399</v>
      </c>
      <c r="B161" s="195">
        <v>40373</v>
      </c>
      <c r="C161" s="195" t="s">
        <v>85</v>
      </c>
      <c r="D161" s="199" t="s">
        <v>131</v>
      </c>
      <c r="E161" s="344" t="s">
        <v>23</v>
      </c>
      <c r="F161" s="200">
        <v>400</v>
      </c>
      <c r="G161" s="276">
        <v>293.51</v>
      </c>
      <c r="H161" s="202">
        <f t="shared" si="25"/>
        <v>117404</v>
      </c>
      <c r="I161" s="220">
        <f t="shared" si="26"/>
        <v>0.003</v>
      </c>
      <c r="J161" s="294"/>
      <c r="K161" s="294"/>
      <c r="L161" s="69"/>
      <c r="M161" s="201"/>
      <c r="N161" s="201"/>
      <c r="O161" s="202">
        <f aca="true" t="shared" si="27" ref="O161:O217">N161*1.0875</f>
        <v>0</v>
      </c>
      <c r="P161" s="225">
        <v>257.48</v>
      </c>
      <c r="Q161" s="225">
        <f t="shared" si="21"/>
        <v>302.15</v>
      </c>
      <c r="R161" s="248">
        <f t="shared" si="22"/>
        <v>372.61</v>
      </c>
    </row>
    <row r="162" spans="1:18" s="8" customFormat="1" ht="12" customHeight="1">
      <c r="A162" s="198" t="s">
        <v>400</v>
      </c>
      <c r="B162" s="195">
        <v>43068</v>
      </c>
      <c r="C162" s="195" t="s">
        <v>85</v>
      </c>
      <c r="D162" s="199" t="s">
        <v>132</v>
      </c>
      <c r="E162" s="344" t="s">
        <v>112</v>
      </c>
      <c r="F162" s="200">
        <v>300</v>
      </c>
      <c r="G162" s="276">
        <v>95.77</v>
      </c>
      <c r="H162" s="202">
        <f t="shared" si="25"/>
        <v>28731</v>
      </c>
      <c r="I162" s="220">
        <f t="shared" si="26"/>
        <v>0.0007</v>
      </c>
      <c r="J162" s="294"/>
      <c r="K162" s="294"/>
      <c r="L162" s="69"/>
      <c r="M162" s="201"/>
      <c r="N162" s="201"/>
      <c r="O162" s="202">
        <f t="shared" si="27"/>
        <v>0</v>
      </c>
      <c r="P162" s="225">
        <v>81.47</v>
      </c>
      <c r="Q162" s="225">
        <f aca="true" t="shared" si="28" ref="Q162:Q217">P162*1.1735</f>
        <v>95.61</v>
      </c>
      <c r="R162" s="248">
        <f t="shared" si="22"/>
        <v>117.91</v>
      </c>
    </row>
    <row r="163" spans="1:18" s="8" customFormat="1" ht="12" customHeight="1">
      <c r="A163" s="198" t="s">
        <v>401</v>
      </c>
      <c r="B163" s="195">
        <v>41225</v>
      </c>
      <c r="C163" s="195" t="s">
        <v>85</v>
      </c>
      <c r="D163" s="199" t="s">
        <v>133</v>
      </c>
      <c r="E163" s="344" t="s">
        <v>104</v>
      </c>
      <c r="F163" s="200">
        <v>300</v>
      </c>
      <c r="G163" s="276">
        <v>24.79</v>
      </c>
      <c r="H163" s="202">
        <f>F163*G163</f>
        <v>7437</v>
      </c>
      <c r="I163" s="220">
        <f t="shared" si="26"/>
        <v>0.0002</v>
      </c>
      <c r="J163" s="294"/>
      <c r="K163" s="294"/>
      <c r="L163" s="69"/>
      <c r="M163" s="201"/>
      <c r="N163" s="201"/>
      <c r="O163" s="202">
        <f t="shared" si="27"/>
        <v>0</v>
      </c>
      <c r="P163" s="225">
        <v>20.36</v>
      </c>
      <c r="Q163" s="225">
        <f t="shared" si="28"/>
        <v>23.89</v>
      </c>
      <c r="R163" s="248">
        <f t="shared" si="22"/>
        <v>29.46</v>
      </c>
    </row>
    <row r="164" spans="1:18" s="8" customFormat="1" ht="12" customHeight="1">
      <c r="A164" s="198" t="s">
        <v>402</v>
      </c>
      <c r="B164" s="195">
        <v>42870</v>
      </c>
      <c r="C164" s="195" t="s">
        <v>85</v>
      </c>
      <c r="D164" s="199" t="s">
        <v>480</v>
      </c>
      <c r="E164" s="344" t="s">
        <v>23</v>
      </c>
      <c r="F164" s="200">
        <v>300</v>
      </c>
      <c r="G164" s="276">
        <v>238.13</v>
      </c>
      <c r="H164" s="202">
        <f>F164*G164</f>
        <v>71439</v>
      </c>
      <c r="I164" s="220">
        <f t="shared" si="26"/>
        <v>0.0018</v>
      </c>
      <c r="J164" s="294"/>
      <c r="K164" s="294"/>
      <c r="L164" s="69"/>
      <c r="M164" s="201"/>
      <c r="N164" s="201"/>
      <c r="O164" s="202"/>
      <c r="P164" s="225"/>
      <c r="Q164" s="225"/>
      <c r="R164" s="248"/>
    </row>
    <row r="165" spans="1:18" s="8" customFormat="1" ht="18" customHeight="1">
      <c r="A165" s="585" t="s">
        <v>195</v>
      </c>
      <c r="B165" s="586"/>
      <c r="C165" s="586"/>
      <c r="D165" s="586"/>
      <c r="E165" s="586"/>
      <c r="F165" s="586"/>
      <c r="G165" s="587"/>
      <c r="H165" s="196">
        <f>SUM(H156:H164)</f>
        <v>752425</v>
      </c>
      <c r="I165" s="197">
        <f>SUM(I156:I164)</f>
        <v>0.019</v>
      </c>
      <c r="J165" s="295"/>
      <c r="K165" s="295"/>
      <c r="L165" s="69"/>
      <c r="M165" s="201"/>
      <c r="N165" s="201"/>
      <c r="O165" s="202">
        <f t="shared" si="27"/>
        <v>0</v>
      </c>
      <c r="P165" s="225"/>
      <c r="Q165" s="225">
        <f t="shared" si="28"/>
        <v>0</v>
      </c>
      <c r="R165" s="249">
        <f aca="true" t="shared" si="29" ref="R165:R216">(M165+O165+Q165)*1.2332</f>
        <v>0</v>
      </c>
    </row>
    <row r="166" spans="1:18" s="8" customFormat="1" ht="4.5" customHeight="1">
      <c r="A166" s="70"/>
      <c r="B166" s="71"/>
      <c r="C166" s="71"/>
      <c r="D166" s="71"/>
      <c r="E166" s="350"/>
      <c r="F166" s="71"/>
      <c r="G166" s="71"/>
      <c r="H166" s="72"/>
      <c r="I166" s="73"/>
      <c r="J166" s="295"/>
      <c r="K166" s="295"/>
      <c r="L166" s="69"/>
      <c r="M166" s="201"/>
      <c r="N166" s="201"/>
      <c r="O166" s="202">
        <f t="shared" si="27"/>
        <v>0</v>
      </c>
      <c r="P166" s="225"/>
      <c r="Q166" s="225">
        <f t="shared" si="28"/>
        <v>0</v>
      </c>
      <c r="R166" s="249">
        <f t="shared" si="29"/>
        <v>0</v>
      </c>
    </row>
    <row r="167" spans="1:18" s="8" customFormat="1" ht="18" customHeight="1">
      <c r="A167" s="65" t="s">
        <v>403</v>
      </c>
      <c r="B167" s="66" t="s">
        <v>141</v>
      </c>
      <c r="C167" s="62"/>
      <c r="D167" s="62"/>
      <c r="E167" s="349"/>
      <c r="F167" s="62"/>
      <c r="G167" s="62"/>
      <c r="H167" s="62"/>
      <c r="I167" s="259"/>
      <c r="J167" s="287"/>
      <c r="K167" s="287"/>
      <c r="L167" s="69"/>
      <c r="M167" s="201"/>
      <c r="N167" s="201"/>
      <c r="O167" s="202">
        <f t="shared" si="27"/>
        <v>0</v>
      </c>
      <c r="P167" s="225"/>
      <c r="Q167" s="225">
        <f t="shared" si="28"/>
        <v>0</v>
      </c>
      <c r="R167" s="249">
        <f t="shared" si="29"/>
        <v>0</v>
      </c>
    </row>
    <row r="168" spans="1:18" s="8" customFormat="1" ht="25.5">
      <c r="A168" s="405" t="s">
        <v>404</v>
      </c>
      <c r="B168" s="304" t="s">
        <v>723</v>
      </c>
      <c r="C168" s="305" t="s">
        <v>21</v>
      </c>
      <c r="D168" s="278" t="s">
        <v>142</v>
      </c>
      <c r="E168" s="346" t="s">
        <v>67</v>
      </c>
      <c r="F168" s="279">
        <v>7200</v>
      </c>
      <c r="G168" s="276">
        <f>Composições!J126</f>
        <v>67.7</v>
      </c>
      <c r="H168" s="281">
        <f aca="true" t="shared" si="30" ref="H168:H173">F168*G168</f>
        <v>487440</v>
      </c>
      <c r="I168" s="282">
        <f aca="true" t="shared" si="31" ref="I168:I173">H168/$H$223</f>
        <v>0.0123</v>
      </c>
      <c r="J168" s="299"/>
      <c r="K168" s="299"/>
      <c r="L168" s="69"/>
      <c r="M168" s="201"/>
      <c r="N168" s="201"/>
      <c r="O168" s="202">
        <f t="shared" si="27"/>
        <v>0</v>
      </c>
      <c r="P168" s="225"/>
      <c r="Q168" s="225">
        <f t="shared" si="28"/>
        <v>0</v>
      </c>
      <c r="R168" s="248">
        <f t="shared" si="29"/>
        <v>0</v>
      </c>
    </row>
    <row r="169" spans="1:18" s="8" customFormat="1" ht="12" customHeight="1">
      <c r="A169" s="405" t="s">
        <v>604</v>
      </c>
      <c r="B169" s="304" t="s">
        <v>723</v>
      </c>
      <c r="C169" s="305" t="s">
        <v>21</v>
      </c>
      <c r="D169" s="283" t="s">
        <v>143</v>
      </c>
      <c r="E169" s="346" t="s">
        <v>67</v>
      </c>
      <c r="F169" s="279">
        <v>2400</v>
      </c>
      <c r="G169" s="276">
        <f>G168</f>
        <v>67.7</v>
      </c>
      <c r="H169" s="281">
        <f t="shared" si="30"/>
        <v>162480</v>
      </c>
      <c r="I169" s="282">
        <f t="shared" si="31"/>
        <v>0.0041</v>
      </c>
      <c r="J169" s="299"/>
      <c r="K169" s="299"/>
      <c r="L169" s="69"/>
      <c r="M169" s="201"/>
      <c r="N169" s="201"/>
      <c r="O169" s="202">
        <f t="shared" si="27"/>
        <v>0</v>
      </c>
      <c r="P169" s="225"/>
      <c r="Q169" s="225">
        <f t="shared" si="28"/>
        <v>0</v>
      </c>
      <c r="R169" s="248">
        <f t="shared" si="29"/>
        <v>0</v>
      </c>
    </row>
    <row r="170" spans="1:18" s="8" customFormat="1" ht="12" customHeight="1">
      <c r="A170" s="405" t="s">
        <v>605</v>
      </c>
      <c r="B170" s="304" t="s">
        <v>723</v>
      </c>
      <c r="C170" s="305" t="s">
        <v>21</v>
      </c>
      <c r="D170" s="278" t="s">
        <v>419</v>
      </c>
      <c r="E170" s="346" t="s">
        <v>67</v>
      </c>
      <c r="F170" s="279">
        <v>4800</v>
      </c>
      <c r="G170" s="276">
        <f>G169</f>
        <v>67.7</v>
      </c>
      <c r="H170" s="281">
        <f>F170*G170</f>
        <v>324960</v>
      </c>
      <c r="I170" s="282">
        <f t="shared" si="31"/>
        <v>0.0082</v>
      </c>
      <c r="J170" s="299"/>
      <c r="K170" s="299"/>
      <c r="L170" s="69"/>
      <c r="M170" s="201"/>
      <c r="N170" s="201"/>
      <c r="O170" s="202">
        <f t="shared" si="27"/>
        <v>0</v>
      </c>
      <c r="P170" s="225"/>
      <c r="Q170" s="225">
        <f t="shared" si="28"/>
        <v>0</v>
      </c>
      <c r="R170" s="249">
        <f t="shared" si="29"/>
        <v>0</v>
      </c>
    </row>
    <row r="171" spans="1:19" s="8" customFormat="1" ht="28.5" customHeight="1">
      <c r="A171" s="198" t="s">
        <v>606</v>
      </c>
      <c r="B171" s="195">
        <v>60024</v>
      </c>
      <c r="C171" s="305" t="s">
        <v>85</v>
      </c>
      <c r="D171" s="278" t="s">
        <v>709</v>
      </c>
      <c r="E171" s="344" t="s">
        <v>67</v>
      </c>
      <c r="F171" s="200">
        <v>12100</v>
      </c>
      <c r="G171" s="276">
        <v>19.6</v>
      </c>
      <c r="H171" s="202">
        <f t="shared" si="30"/>
        <v>237160</v>
      </c>
      <c r="I171" s="220">
        <f t="shared" si="31"/>
        <v>0.006</v>
      </c>
      <c r="J171" s="294"/>
      <c r="K171" s="294"/>
      <c r="L171" s="69"/>
      <c r="M171" s="201"/>
      <c r="N171" s="201"/>
      <c r="O171" s="202">
        <f t="shared" si="27"/>
        <v>0</v>
      </c>
      <c r="P171" s="225">
        <v>9.23</v>
      </c>
      <c r="Q171" s="225">
        <f t="shared" si="28"/>
        <v>10.83</v>
      </c>
      <c r="R171" s="248">
        <f t="shared" si="29"/>
        <v>13.36</v>
      </c>
      <c r="S171" s="8">
        <f>0.642*10+0.68*2+1.445</f>
        <v>9.225</v>
      </c>
    </row>
    <row r="172" spans="1:19" s="8" customFormat="1" ht="29.25" customHeight="1">
      <c r="A172" s="198" t="s">
        <v>607</v>
      </c>
      <c r="B172" s="195">
        <v>60024</v>
      </c>
      <c r="C172" s="305" t="s">
        <v>85</v>
      </c>
      <c r="D172" s="278" t="s">
        <v>708</v>
      </c>
      <c r="E172" s="344" t="s">
        <v>67</v>
      </c>
      <c r="F172" s="200">
        <v>6500</v>
      </c>
      <c r="G172" s="276">
        <v>19.6</v>
      </c>
      <c r="H172" s="202">
        <f t="shared" si="30"/>
        <v>127400</v>
      </c>
      <c r="I172" s="220">
        <f t="shared" si="31"/>
        <v>0.0032</v>
      </c>
      <c r="J172" s="294"/>
      <c r="K172" s="294"/>
      <c r="L172" s="69"/>
      <c r="M172" s="201"/>
      <c r="N172" s="201"/>
      <c r="O172" s="202">
        <f t="shared" si="27"/>
        <v>0</v>
      </c>
      <c r="P172" s="225">
        <v>11.35</v>
      </c>
      <c r="Q172" s="225">
        <f t="shared" si="28"/>
        <v>13.32</v>
      </c>
      <c r="R172" s="248">
        <f t="shared" si="29"/>
        <v>16.43</v>
      </c>
      <c r="S172" s="8">
        <f>0.225*10+0.238*2+8.624</f>
        <v>11.35</v>
      </c>
    </row>
    <row r="173" spans="1:19" s="8" customFormat="1" ht="38.25">
      <c r="A173" s="198" t="s">
        <v>608</v>
      </c>
      <c r="B173" s="195">
        <v>60024</v>
      </c>
      <c r="C173" s="305" t="s">
        <v>85</v>
      </c>
      <c r="D173" s="278" t="s">
        <v>710</v>
      </c>
      <c r="E173" s="344" t="s">
        <v>67</v>
      </c>
      <c r="F173" s="200">
        <v>8600</v>
      </c>
      <c r="G173" s="276">
        <v>19.6</v>
      </c>
      <c r="H173" s="202">
        <f t="shared" si="30"/>
        <v>168560</v>
      </c>
      <c r="I173" s="220">
        <f t="shared" si="31"/>
        <v>0.0043</v>
      </c>
      <c r="J173" s="294"/>
      <c r="K173" s="294"/>
      <c r="L173" s="69"/>
      <c r="M173" s="201"/>
      <c r="N173" s="201"/>
      <c r="O173" s="202">
        <f t="shared" si="27"/>
        <v>0</v>
      </c>
      <c r="P173" s="225">
        <v>9.23</v>
      </c>
      <c r="Q173" s="225">
        <f t="shared" si="28"/>
        <v>10.83</v>
      </c>
      <c r="R173" s="248">
        <f t="shared" si="29"/>
        <v>13.36</v>
      </c>
      <c r="S173" s="8">
        <f>0.642*10+0.68*2+1.445</f>
        <v>9.225</v>
      </c>
    </row>
    <row r="174" spans="1:18" s="8" customFormat="1" ht="21" customHeight="1">
      <c r="A174" s="585" t="s">
        <v>418</v>
      </c>
      <c r="B174" s="586"/>
      <c r="C174" s="586"/>
      <c r="D174" s="586"/>
      <c r="E174" s="586"/>
      <c r="F174" s="586"/>
      <c r="G174" s="587"/>
      <c r="H174" s="196">
        <f>SUM(H168:H173)</f>
        <v>1508000</v>
      </c>
      <c r="I174" s="197">
        <f>SUM(I168:I173)</f>
        <v>0.0381</v>
      </c>
      <c r="J174" s="295"/>
      <c r="K174" s="295"/>
      <c r="L174" s="69"/>
      <c r="M174" s="201"/>
      <c r="N174" s="201"/>
      <c r="O174" s="202">
        <f t="shared" si="27"/>
        <v>0</v>
      </c>
      <c r="P174" s="225"/>
      <c r="Q174" s="225">
        <f t="shared" si="28"/>
        <v>0</v>
      </c>
      <c r="R174" s="249">
        <f t="shared" si="29"/>
        <v>0</v>
      </c>
    </row>
    <row r="175" spans="1:18" s="8" customFormat="1" ht="6" customHeight="1">
      <c r="A175" s="70"/>
      <c r="B175" s="71"/>
      <c r="C175" s="71"/>
      <c r="D175" s="71"/>
      <c r="E175" s="350"/>
      <c r="F175" s="71"/>
      <c r="G175" s="71"/>
      <c r="H175" s="72"/>
      <c r="I175" s="73"/>
      <c r="J175" s="295"/>
      <c r="K175" s="295"/>
      <c r="L175" s="69"/>
      <c r="M175" s="201"/>
      <c r="N175" s="201"/>
      <c r="O175" s="202">
        <f t="shared" si="27"/>
        <v>0</v>
      </c>
      <c r="P175" s="225"/>
      <c r="Q175" s="225">
        <f t="shared" si="28"/>
        <v>0</v>
      </c>
      <c r="R175" s="249">
        <f t="shared" si="29"/>
        <v>0</v>
      </c>
    </row>
    <row r="176" spans="1:18" s="8" customFormat="1" ht="17.25" customHeight="1">
      <c r="A176" s="65" t="s">
        <v>609</v>
      </c>
      <c r="B176" s="66" t="s">
        <v>410</v>
      </c>
      <c r="C176" s="62"/>
      <c r="D176" s="62"/>
      <c r="E176" s="349"/>
      <c r="F176" s="62"/>
      <c r="G176" s="62"/>
      <c r="H176" s="62"/>
      <c r="I176" s="259"/>
      <c r="J176" s="287"/>
      <c r="K176" s="287"/>
      <c r="L176" s="69"/>
      <c r="M176" s="201"/>
      <c r="N176" s="201"/>
      <c r="O176" s="202">
        <f t="shared" si="27"/>
        <v>0</v>
      </c>
      <c r="P176" s="225"/>
      <c r="Q176" s="225">
        <f t="shared" si="28"/>
        <v>0</v>
      </c>
      <c r="R176" s="249">
        <f t="shared" si="29"/>
        <v>0</v>
      </c>
    </row>
    <row r="177" spans="1:18" s="8" customFormat="1" ht="25.5">
      <c r="A177" s="198" t="s">
        <v>610</v>
      </c>
      <c r="B177" s="195">
        <v>98533</v>
      </c>
      <c r="C177" s="304" t="s">
        <v>405</v>
      </c>
      <c r="D177" s="274" t="s">
        <v>406</v>
      </c>
      <c r="E177" s="347" t="s">
        <v>407</v>
      </c>
      <c r="F177" s="275">
        <v>1600</v>
      </c>
      <c r="G177" s="276">
        <v>262.29</v>
      </c>
      <c r="H177" s="202">
        <f>F177*G177</f>
        <v>419664</v>
      </c>
      <c r="I177" s="220">
        <f aca="true" t="shared" si="32" ref="I177:I188">H177/$H$223</f>
        <v>0.0106</v>
      </c>
      <c r="J177" s="294"/>
      <c r="K177" s="294"/>
      <c r="L177" s="69"/>
      <c r="M177" s="201">
        <v>220.6</v>
      </c>
      <c r="N177" s="201"/>
      <c r="O177" s="202">
        <f t="shared" si="27"/>
        <v>0</v>
      </c>
      <c r="P177" s="225"/>
      <c r="Q177" s="225">
        <f t="shared" si="28"/>
        <v>0</v>
      </c>
      <c r="R177" s="248">
        <f t="shared" si="29"/>
        <v>272.04</v>
      </c>
    </row>
    <row r="178" spans="1:18" s="8" customFormat="1" ht="25.5">
      <c r="A178" s="198" t="s">
        <v>611</v>
      </c>
      <c r="B178" s="195">
        <v>98534</v>
      </c>
      <c r="C178" s="304" t="s">
        <v>405</v>
      </c>
      <c r="D178" s="274" t="s">
        <v>408</v>
      </c>
      <c r="E178" s="347" t="s">
        <v>407</v>
      </c>
      <c r="F178" s="201">
        <v>800</v>
      </c>
      <c r="G178" s="276">
        <v>672.89</v>
      </c>
      <c r="H178" s="202">
        <f>F178*G178</f>
        <v>538312</v>
      </c>
      <c r="I178" s="220">
        <f t="shared" si="32"/>
        <v>0.0136</v>
      </c>
      <c r="J178" s="294"/>
      <c r="K178" s="294"/>
      <c r="L178" s="69"/>
      <c r="M178" s="201">
        <v>566.28</v>
      </c>
      <c r="N178" s="201"/>
      <c r="O178" s="202">
        <f t="shared" si="27"/>
        <v>0</v>
      </c>
      <c r="P178" s="225"/>
      <c r="Q178" s="225">
        <f t="shared" si="28"/>
        <v>0</v>
      </c>
      <c r="R178" s="248">
        <f t="shared" si="29"/>
        <v>698.34</v>
      </c>
    </row>
    <row r="179" spans="1:18" s="8" customFormat="1" ht="12" customHeight="1">
      <c r="A179" s="198" t="s">
        <v>612</v>
      </c>
      <c r="B179" s="195">
        <v>98535</v>
      </c>
      <c r="C179" s="304" t="s">
        <v>405</v>
      </c>
      <c r="D179" s="274" t="s">
        <v>409</v>
      </c>
      <c r="E179" s="347" t="s">
        <v>407</v>
      </c>
      <c r="F179" s="201">
        <v>600</v>
      </c>
      <c r="G179" s="276">
        <v>1063.45</v>
      </c>
      <c r="H179" s="202">
        <f>F179*G179</f>
        <v>638070</v>
      </c>
      <c r="I179" s="220">
        <f t="shared" si="32"/>
        <v>0.0161</v>
      </c>
      <c r="J179" s="294"/>
      <c r="K179" s="294"/>
      <c r="L179" s="69"/>
      <c r="M179" s="201">
        <v>894.41</v>
      </c>
      <c r="N179" s="201"/>
      <c r="O179" s="202">
        <f t="shared" si="27"/>
        <v>0</v>
      </c>
      <c r="P179" s="225"/>
      <c r="Q179" s="225">
        <f t="shared" si="28"/>
        <v>0</v>
      </c>
      <c r="R179" s="248">
        <f t="shared" si="29"/>
        <v>1102.99</v>
      </c>
    </row>
    <row r="180" spans="1:18" s="8" customFormat="1" ht="25.5">
      <c r="A180" s="198" t="s">
        <v>613</v>
      </c>
      <c r="B180" s="195">
        <v>98529</v>
      </c>
      <c r="C180" s="304" t="s">
        <v>405</v>
      </c>
      <c r="D180" s="274" t="s">
        <v>411</v>
      </c>
      <c r="E180" s="347" t="s">
        <v>407</v>
      </c>
      <c r="F180" s="201">
        <v>250</v>
      </c>
      <c r="G180" s="276">
        <v>65.64</v>
      </c>
      <c r="H180" s="202">
        <f aca="true" t="shared" si="33" ref="H180:H188">F180*G180</f>
        <v>16410</v>
      </c>
      <c r="I180" s="220">
        <f t="shared" si="32"/>
        <v>0.0004</v>
      </c>
      <c r="J180" s="294"/>
      <c r="K180" s="294"/>
      <c r="L180" s="69"/>
      <c r="M180" s="201">
        <v>55.42</v>
      </c>
      <c r="N180" s="201"/>
      <c r="O180" s="202">
        <f t="shared" si="27"/>
        <v>0</v>
      </c>
      <c r="P180" s="225"/>
      <c r="Q180" s="225">
        <f t="shared" si="28"/>
        <v>0</v>
      </c>
      <c r="R180" s="248">
        <f t="shared" si="29"/>
        <v>68.34</v>
      </c>
    </row>
    <row r="181" spans="1:18" s="8" customFormat="1" ht="25.5">
      <c r="A181" s="198" t="s">
        <v>614</v>
      </c>
      <c r="B181" s="195">
        <v>98530</v>
      </c>
      <c r="C181" s="304" t="s">
        <v>405</v>
      </c>
      <c r="D181" s="274" t="s">
        <v>412</v>
      </c>
      <c r="E181" s="347" t="s">
        <v>407</v>
      </c>
      <c r="F181" s="201">
        <v>200</v>
      </c>
      <c r="G181" s="276">
        <v>116.94</v>
      </c>
      <c r="H181" s="202">
        <f t="shared" si="33"/>
        <v>23388</v>
      </c>
      <c r="I181" s="220">
        <f t="shared" si="32"/>
        <v>0.0006</v>
      </c>
      <c r="J181" s="294"/>
      <c r="K181" s="294"/>
      <c r="L181" s="69"/>
      <c r="M181" s="201">
        <v>98.72</v>
      </c>
      <c r="N181" s="201"/>
      <c r="O181" s="202">
        <f t="shared" si="27"/>
        <v>0</v>
      </c>
      <c r="P181" s="225"/>
      <c r="Q181" s="225">
        <f t="shared" si="28"/>
        <v>0</v>
      </c>
      <c r="R181" s="248">
        <f t="shared" si="29"/>
        <v>121.74</v>
      </c>
    </row>
    <row r="182" spans="1:18" s="8" customFormat="1" ht="25.5">
      <c r="A182" s="198" t="s">
        <v>615</v>
      </c>
      <c r="B182" s="195">
        <v>98531</v>
      </c>
      <c r="C182" s="304" t="s">
        <v>405</v>
      </c>
      <c r="D182" s="274" t="s">
        <v>413</v>
      </c>
      <c r="E182" s="347" t="s">
        <v>407</v>
      </c>
      <c r="F182" s="201">
        <v>150</v>
      </c>
      <c r="G182" s="276">
        <v>266.75</v>
      </c>
      <c r="H182" s="202">
        <f t="shared" si="33"/>
        <v>40012.5</v>
      </c>
      <c r="I182" s="220">
        <f t="shared" si="32"/>
        <v>0.001</v>
      </c>
      <c r="J182" s="294"/>
      <c r="K182" s="294"/>
      <c r="L182" s="69"/>
      <c r="M182" s="201">
        <v>227.8</v>
      </c>
      <c r="N182" s="201"/>
      <c r="O182" s="202">
        <f t="shared" si="27"/>
        <v>0</v>
      </c>
      <c r="P182" s="225"/>
      <c r="Q182" s="225">
        <f t="shared" si="28"/>
        <v>0</v>
      </c>
      <c r="R182" s="248">
        <f t="shared" si="29"/>
        <v>280.92</v>
      </c>
    </row>
    <row r="183" spans="1:18" s="8" customFormat="1" ht="25.5">
      <c r="A183" s="198" t="s">
        <v>616</v>
      </c>
      <c r="B183" s="195">
        <v>98526</v>
      </c>
      <c r="C183" s="304" t="s">
        <v>405</v>
      </c>
      <c r="D183" s="274" t="s">
        <v>414</v>
      </c>
      <c r="E183" s="347" t="s">
        <v>407</v>
      </c>
      <c r="F183" s="201">
        <v>250</v>
      </c>
      <c r="G183" s="276">
        <v>78.21</v>
      </c>
      <c r="H183" s="202">
        <f t="shared" si="33"/>
        <v>19552.5</v>
      </c>
      <c r="I183" s="220">
        <f t="shared" si="32"/>
        <v>0.0005</v>
      </c>
      <c r="J183" s="294"/>
      <c r="K183" s="294"/>
      <c r="L183" s="69"/>
      <c r="M183" s="201">
        <v>65.75</v>
      </c>
      <c r="N183" s="201"/>
      <c r="O183" s="202">
        <f t="shared" si="27"/>
        <v>0</v>
      </c>
      <c r="P183" s="225"/>
      <c r="Q183" s="225">
        <f t="shared" si="28"/>
        <v>0</v>
      </c>
      <c r="R183" s="248">
        <f t="shared" si="29"/>
        <v>81.08</v>
      </c>
    </row>
    <row r="184" spans="1:18" s="8" customFormat="1" ht="25.5">
      <c r="A184" s="198" t="s">
        <v>617</v>
      </c>
      <c r="B184" s="195">
        <v>98527</v>
      </c>
      <c r="C184" s="304" t="s">
        <v>405</v>
      </c>
      <c r="D184" s="274" t="s">
        <v>415</v>
      </c>
      <c r="E184" s="347" t="s">
        <v>407</v>
      </c>
      <c r="F184" s="201">
        <v>200</v>
      </c>
      <c r="G184" s="276">
        <v>168.39</v>
      </c>
      <c r="H184" s="202">
        <f t="shared" si="33"/>
        <v>33678</v>
      </c>
      <c r="I184" s="220">
        <f t="shared" si="32"/>
        <v>0.0009</v>
      </c>
      <c r="J184" s="294"/>
      <c r="K184" s="294"/>
      <c r="L184" s="69"/>
      <c r="M184" s="201">
        <v>141.58</v>
      </c>
      <c r="N184" s="201"/>
      <c r="O184" s="202">
        <f t="shared" si="27"/>
        <v>0</v>
      </c>
      <c r="P184" s="225"/>
      <c r="Q184" s="225">
        <f t="shared" si="28"/>
        <v>0</v>
      </c>
      <c r="R184" s="248">
        <f t="shared" si="29"/>
        <v>174.6</v>
      </c>
    </row>
    <row r="185" spans="1:18" s="8" customFormat="1" ht="25.5">
      <c r="A185" s="198" t="s">
        <v>618</v>
      </c>
      <c r="B185" s="195">
        <v>98528</v>
      </c>
      <c r="C185" s="304" t="s">
        <v>405</v>
      </c>
      <c r="D185" s="274" t="s">
        <v>416</v>
      </c>
      <c r="E185" s="347" t="s">
        <v>407</v>
      </c>
      <c r="F185" s="201">
        <v>150</v>
      </c>
      <c r="G185" s="276">
        <v>246.26</v>
      </c>
      <c r="H185" s="202">
        <f t="shared" si="33"/>
        <v>36939</v>
      </c>
      <c r="I185" s="220">
        <f t="shared" si="32"/>
        <v>0.0009</v>
      </c>
      <c r="J185" s="294"/>
      <c r="K185" s="294"/>
      <c r="L185" s="69"/>
      <c r="M185" s="201">
        <v>207.02</v>
      </c>
      <c r="N185" s="201"/>
      <c r="O185" s="202">
        <f t="shared" si="27"/>
        <v>0</v>
      </c>
      <c r="P185" s="225"/>
      <c r="Q185" s="225">
        <f t="shared" si="28"/>
        <v>0</v>
      </c>
      <c r="R185" s="248">
        <f t="shared" si="29"/>
        <v>255.3</v>
      </c>
    </row>
    <row r="186" spans="1:18" s="8" customFormat="1" ht="25.5">
      <c r="A186" s="198" t="s">
        <v>619</v>
      </c>
      <c r="B186" s="313">
        <v>42202</v>
      </c>
      <c r="C186" s="195" t="s">
        <v>424</v>
      </c>
      <c r="D186" s="358" t="s">
        <v>518</v>
      </c>
      <c r="E186" s="347" t="s">
        <v>407</v>
      </c>
      <c r="F186" s="201">
        <v>1000</v>
      </c>
      <c r="G186" s="276">
        <v>114.97</v>
      </c>
      <c r="H186" s="202">
        <f t="shared" si="33"/>
        <v>114970</v>
      </c>
      <c r="I186" s="220">
        <f t="shared" si="32"/>
        <v>0.0029</v>
      </c>
      <c r="J186" s="294"/>
      <c r="K186" s="294"/>
      <c r="L186" s="69"/>
      <c r="M186" s="201"/>
      <c r="N186" s="201"/>
      <c r="O186" s="202"/>
      <c r="P186" s="225"/>
      <c r="Q186" s="225"/>
      <c r="R186" s="248"/>
    </row>
    <row r="187" spans="1:18" s="8" customFormat="1" ht="25.5">
      <c r="A187" s="198" t="s">
        <v>620</v>
      </c>
      <c r="B187" s="313">
        <v>42203</v>
      </c>
      <c r="C187" s="195" t="s">
        <v>424</v>
      </c>
      <c r="D187" s="358" t="s">
        <v>517</v>
      </c>
      <c r="E187" s="347" t="s">
        <v>407</v>
      </c>
      <c r="F187" s="201">
        <v>1000</v>
      </c>
      <c r="G187" s="276">
        <v>179.33</v>
      </c>
      <c r="H187" s="202">
        <f t="shared" si="33"/>
        <v>179330</v>
      </c>
      <c r="I187" s="220">
        <f t="shared" si="32"/>
        <v>0.0045</v>
      </c>
      <c r="J187" s="294"/>
      <c r="K187" s="294"/>
      <c r="L187" s="69"/>
      <c r="M187" s="201"/>
      <c r="N187" s="201"/>
      <c r="O187" s="202"/>
      <c r="P187" s="225"/>
      <c r="Q187" s="225"/>
      <c r="R187" s="248"/>
    </row>
    <row r="188" spans="1:18" s="8" customFormat="1" ht="13.5" customHeight="1">
      <c r="A188" s="198" t="s">
        <v>621</v>
      </c>
      <c r="B188" s="313">
        <v>42206</v>
      </c>
      <c r="C188" s="195" t="s">
        <v>424</v>
      </c>
      <c r="D188" s="359" t="s">
        <v>516</v>
      </c>
      <c r="E188" s="347" t="s">
        <v>417</v>
      </c>
      <c r="F188" s="275">
        <v>20000</v>
      </c>
      <c r="G188" s="276">
        <v>19.02</v>
      </c>
      <c r="H188" s="202">
        <f t="shared" si="33"/>
        <v>380400</v>
      </c>
      <c r="I188" s="220">
        <f t="shared" si="32"/>
        <v>0.0096</v>
      </c>
      <c r="J188" s="294"/>
      <c r="K188" s="294"/>
      <c r="L188" s="69"/>
      <c r="M188" s="201">
        <v>1.56</v>
      </c>
      <c r="N188" s="201"/>
      <c r="O188" s="202">
        <f t="shared" si="27"/>
        <v>0</v>
      </c>
      <c r="P188" s="225"/>
      <c r="Q188" s="225">
        <f t="shared" si="28"/>
        <v>0</v>
      </c>
      <c r="R188" s="248">
        <f t="shared" si="29"/>
        <v>1.92</v>
      </c>
    </row>
    <row r="189" spans="1:18" s="8" customFormat="1" ht="17.25" customHeight="1">
      <c r="A189" s="592" t="s">
        <v>622</v>
      </c>
      <c r="B189" s="592"/>
      <c r="C189" s="592"/>
      <c r="D189" s="592"/>
      <c r="E189" s="592"/>
      <c r="F189" s="592"/>
      <c r="G189" s="592"/>
      <c r="H189" s="196">
        <f>SUM(H177:H188)</f>
        <v>2440726</v>
      </c>
      <c r="I189" s="197">
        <f>SUM(I177:I188)</f>
        <v>0.0616</v>
      </c>
      <c r="J189" s="295"/>
      <c r="K189" s="295"/>
      <c r="L189" s="69"/>
      <c r="M189" s="201"/>
      <c r="N189" s="201"/>
      <c r="O189" s="202">
        <f t="shared" si="27"/>
        <v>0</v>
      </c>
      <c r="P189" s="225"/>
      <c r="Q189" s="225">
        <f t="shared" si="28"/>
        <v>0</v>
      </c>
      <c r="R189" s="249">
        <f t="shared" si="29"/>
        <v>0</v>
      </c>
    </row>
    <row r="190" spans="1:18" s="8" customFormat="1" ht="4.5" customHeight="1">
      <c r="A190" s="70"/>
      <c r="B190" s="71"/>
      <c r="C190" s="71"/>
      <c r="D190" s="71"/>
      <c r="E190" s="350"/>
      <c r="F190" s="71"/>
      <c r="G190" s="71"/>
      <c r="H190" s="72"/>
      <c r="I190" s="73"/>
      <c r="J190" s="295"/>
      <c r="K190" s="295"/>
      <c r="L190" s="69"/>
      <c r="M190" s="201"/>
      <c r="N190" s="201"/>
      <c r="O190" s="202">
        <f t="shared" si="27"/>
        <v>0</v>
      </c>
      <c r="P190" s="225"/>
      <c r="Q190" s="225">
        <f t="shared" si="28"/>
        <v>0</v>
      </c>
      <c r="R190" s="249">
        <f t="shared" si="29"/>
        <v>0</v>
      </c>
    </row>
    <row r="191" spans="1:18" s="8" customFormat="1" ht="20.25" customHeight="1">
      <c r="A191" s="65" t="s">
        <v>623</v>
      </c>
      <c r="B191" s="66" t="s">
        <v>695</v>
      </c>
      <c r="C191" s="62"/>
      <c r="D191" s="62"/>
      <c r="E191" s="349"/>
      <c r="F191" s="62"/>
      <c r="G191" s="62"/>
      <c r="H191" s="62"/>
      <c r="I191" s="259"/>
      <c r="J191" s="295"/>
      <c r="K191" s="295"/>
      <c r="L191" s="69"/>
      <c r="M191" s="201"/>
      <c r="N191" s="201"/>
      <c r="O191" s="202"/>
      <c r="P191" s="225"/>
      <c r="Q191" s="225"/>
      <c r="R191" s="249"/>
    </row>
    <row r="192" spans="1:18" s="8" customFormat="1" ht="27" customHeight="1">
      <c r="A192" s="198" t="s">
        <v>624</v>
      </c>
      <c r="B192" s="195">
        <v>60019</v>
      </c>
      <c r="C192" s="195" t="s">
        <v>85</v>
      </c>
      <c r="D192" s="403" t="s">
        <v>711</v>
      </c>
      <c r="E192" s="339" t="s">
        <v>67</v>
      </c>
      <c r="F192" s="200">
        <v>10000</v>
      </c>
      <c r="G192" s="407">
        <f>1.147*0.5+1.268*1+2.013</f>
        <v>3.85</v>
      </c>
      <c r="H192" s="202">
        <f aca="true" t="shared" si="34" ref="H192:H199">F192*G192</f>
        <v>38500</v>
      </c>
      <c r="I192" s="220">
        <f aca="true" t="shared" si="35" ref="I192:I199">H192/$H$223</f>
        <v>0.001</v>
      </c>
      <c r="J192" s="295"/>
      <c r="K192" s="295"/>
      <c r="L192" s="69"/>
      <c r="M192" s="201"/>
      <c r="N192" s="201"/>
      <c r="O192" s="202"/>
      <c r="P192" s="225"/>
      <c r="Q192" s="225"/>
      <c r="R192" s="249"/>
    </row>
    <row r="193" spans="1:18" s="8" customFormat="1" ht="25.5">
      <c r="A193" s="198" t="s">
        <v>625</v>
      </c>
      <c r="B193" s="195">
        <v>60020</v>
      </c>
      <c r="C193" s="195" t="s">
        <v>85</v>
      </c>
      <c r="D193" s="403" t="s">
        <v>712</v>
      </c>
      <c r="E193" s="339" t="s">
        <v>67</v>
      </c>
      <c r="F193" s="200">
        <v>10000</v>
      </c>
      <c r="G193" s="407">
        <f>1.029*2+1.157*2+1.929</f>
        <v>6.3</v>
      </c>
      <c r="H193" s="202">
        <f t="shared" si="34"/>
        <v>63000</v>
      </c>
      <c r="I193" s="220">
        <f t="shared" si="35"/>
        <v>0.0016</v>
      </c>
      <c r="J193" s="295"/>
      <c r="K193" s="295"/>
      <c r="L193" s="69"/>
      <c r="M193" s="201"/>
      <c r="N193" s="201"/>
      <c r="O193" s="202"/>
      <c r="P193" s="225"/>
      <c r="Q193" s="225"/>
      <c r="R193" s="249"/>
    </row>
    <row r="194" spans="1:18" s="8" customFormat="1" ht="25.5">
      <c r="A194" s="198" t="s">
        <v>626</v>
      </c>
      <c r="B194" s="195">
        <v>60021</v>
      </c>
      <c r="C194" s="195" t="s">
        <v>85</v>
      </c>
      <c r="D194" s="403" t="s">
        <v>707</v>
      </c>
      <c r="E194" s="339" t="s">
        <v>67</v>
      </c>
      <c r="F194" s="200">
        <v>10000</v>
      </c>
      <c r="G194" s="407">
        <f>0.889*4+0.987*3.5+1.852</f>
        <v>8.86</v>
      </c>
      <c r="H194" s="202">
        <f t="shared" si="34"/>
        <v>88600</v>
      </c>
      <c r="I194" s="220">
        <f t="shared" si="35"/>
        <v>0.0022</v>
      </c>
      <c r="J194" s="295"/>
      <c r="K194" s="295"/>
      <c r="L194" s="69"/>
      <c r="M194" s="201"/>
      <c r="N194" s="201"/>
      <c r="O194" s="202"/>
      <c r="P194" s="225"/>
      <c r="Q194" s="225"/>
      <c r="R194" s="249"/>
    </row>
    <row r="195" spans="1:18" s="8" customFormat="1" ht="25.5">
      <c r="A195" s="198" t="s">
        <v>627</v>
      </c>
      <c r="B195" s="195">
        <v>60022</v>
      </c>
      <c r="C195" s="195" t="s">
        <v>85</v>
      </c>
      <c r="D195" s="403" t="s">
        <v>713</v>
      </c>
      <c r="E195" s="339" t="s">
        <v>67</v>
      </c>
      <c r="F195" s="200">
        <v>10000</v>
      </c>
      <c r="G195" s="407">
        <f>0.791*6+0.838*6.5+1.78</f>
        <v>11.97</v>
      </c>
      <c r="H195" s="202">
        <f t="shared" si="34"/>
        <v>119700</v>
      </c>
      <c r="I195" s="220">
        <f t="shared" si="35"/>
        <v>0.003</v>
      </c>
      <c r="J195" s="295"/>
      <c r="K195" s="295"/>
      <c r="L195" s="69"/>
      <c r="M195" s="201"/>
      <c r="N195" s="201"/>
      <c r="O195" s="202"/>
      <c r="P195" s="225"/>
      <c r="Q195" s="225"/>
      <c r="R195" s="249"/>
    </row>
    <row r="196" spans="1:18" s="8" customFormat="1" ht="25.5">
      <c r="A196" s="198" t="s">
        <v>628</v>
      </c>
      <c r="B196" s="195">
        <v>60024</v>
      </c>
      <c r="C196" s="195" t="s">
        <v>85</v>
      </c>
      <c r="D196" s="403" t="s">
        <v>719</v>
      </c>
      <c r="E196" s="339" t="s">
        <v>67</v>
      </c>
      <c r="F196" s="200">
        <v>10000</v>
      </c>
      <c r="G196" s="407">
        <f>0.319*12.5+0.338*10+12.231</f>
        <v>19.6</v>
      </c>
      <c r="H196" s="202">
        <f t="shared" si="34"/>
        <v>196000</v>
      </c>
      <c r="I196" s="220">
        <f t="shared" si="35"/>
        <v>0.0049</v>
      </c>
      <c r="J196" s="295"/>
      <c r="K196" s="295"/>
      <c r="L196" s="69"/>
      <c r="M196" s="201"/>
      <c r="N196" s="201"/>
      <c r="O196" s="202"/>
      <c r="P196" s="225"/>
      <c r="Q196" s="225"/>
      <c r="R196" s="249"/>
    </row>
    <row r="197" spans="1:18" s="8" customFormat="1" ht="25.5">
      <c r="A197" s="198" t="s">
        <v>714</v>
      </c>
      <c r="B197" s="195">
        <v>60024</v>
      </c>
      <c r="C197" s="195" t="s">
        <v>85</v>
      </c>
      <c r="D197" s="403" t="s">
        <v>704</v>
      </c>
      <c r="E197" s="339" t="s">
        <v>67</v>
      </c>
      <c r="F197" s="200">
        <v>10000</v>
      </c>
      <c r="G197" s="407">
        <f>0.319*35+0.338*10+12.231</f>
        <v>26.78</v>
      </c>
      <c r="H197" s="202">
        <f t="shared" si="34"/>
        <v>267800</v>
      </c>
      <c r="I197" s="220">
        <f t="shared" si="35"/>
        <v>0.0068</v>
      </c>
      <c r="J197" s="295"/>
      <c r="K197" s="295"/>
      <c r="L197" s="69"/>
      <c r="M197" s="201"/>
      <c r="N197" s="201"/>
      <c r="O197" s="202"/>
      <c r="P197" s="225"/>
      <c r="Q197" s="225"/>
      <c r="R197" s="249"/>
    </row>
    <row r="198" spans="1:18" s="8" customFormat="1" ht="25.5">
      <c r="A198" s="198" t="s">
        <v>715</v>
      </c>
      <c r="B198" s="195">
        <v>60024</v>
      </c>
      <c r="C198" s="195" t="s">
        <v>85</v>
      </c>
      <c r="D198" s="403" t="s">
        <v>717</v>
      </c>
      <c r="E198" s="339" t="s">
        <v>67</v>
      </c>
      <c r="F198" s="200">
        <v>10000</v>
      </c>
      <c r="G198" s="407">
        <f>0.319*65+0.338*10+12.231</f>
        <v>36.35</v>
      </c>
      <c r="H198" s="202">
        <f t="shared" si="34"/>
        <v>363500</v>
      </c>
      <c r="I198" s="220">
        <f t="shared" si="35"/>
        <v>0.0092</v>
      </c>
      <c r="J198" s="295"/>
      <c r="K198" s="295"/>
      <c r="L198" s="69"/>
      <c r="M198" s="201"/>
      <c r="N198" s="201"/>
      <c r="O198" s="202"/>
      <c r="P198" s="225"/>
      <c r="Q198" s="225"/>
      <c r="R198" s="249"/>
    </row>
    <row r="199" spans="1:18" s="8" customFormat="1" ht="25.5">
      <c r="A199" s="198" t="s">
        <v>716</v>
      </c>
      <c r="B199" s="195">
        <v>60024</v>
      </c>
      <c r="C199" s="195" t="s">
        <v>85</v>
      </c>
      <c r="D199" s="403" t="s">
        <v>718</v>
      </c>
      <c r="E199" s="339" t="s">
        <v>67</v>
      </c>
      <c r="F199" s="200">
        <v>10000</v>
      </c>
      <c r="G199" s="407">
        <f>0.319*95+0.338*10+12.231</f>
        <v>45.92</v>
      </c>
      <c r="H199" s="202">
        <f t="shared" si="34"/>
        <v>459200</v>
      </c>
      <c r="I199" s="220">
        <f t="shared" si="35"/>
        <v>0.0116</v>
      </c>
      <c r="J199" s="295"/>
      <c r="K199" s="295"/>
      <c r="L199" s="69"/>
      <c r="M199" s="201"/>
      <c r="N199" s="201"/>
      <c r="O199" s="202"/>
      <c r="P199" s="225"/>
      <c r="Q199" s="225"/>
      <c r="R199" s="249"/>
    </row>
    <row r="200" spans="1:18" s="8" customFormat="1" ht="20.25" customHeight="1">
      <c r="A200" s="592" t="s">
        <v>692</v>
      </c>
      <c r="B200" s="592"/>
      <c r="C200" s="592"/>
      <c r="D200" s="592"/>
      <c r="E200" s="592"/>
      <c r="F200" s="592"/>
      <c r="G200" s="592"/>
      <c r="H200" s="196">
        <f>SUM(H192:H199)</f>
        <v>1596300</v>
      </c>
      <c r="I200" s="197">
        <f>SUM(I192:I199)</f>
        <v>0.0403</v>
      </c>
      <c r="J200" s="295"/>
      <c r="K200" s="295"/>
      <c r="L200" s="69"/>
      <c r="M200" s="201"/>
      <c r="N200" s="201"/>
      <c r="O200" s="202"/>
      <c r="P200" s="225"/>
      <c r="Q200" s="225"/>
      <c r="R200" s="249"/>
    </row>
    <row r="201" spans="1:18" s="8" customFormat="1" ht="4.5" customHeight="1">
      <c r="A201" s="70"/>
      <c r="B201" s="71"/>
      <c r="C201" s="71"/>
      <c r="D201" s="71"/>
      <c r="E201" s="350"/>
      <c r="F201" s="71"/>
      <c r="G201" s="71"/>
      <c r="H201" s="72"/>
      <c r="I201" s="73"/>
      <c r="J201" s="295"/>
      <c r="K201" s="295"/>
      <c r="L201" s="69"/>
      <c r="M201" s="201"/>
      <c r="N201" s="201"/>
      <c r="O201" s="202"/>
      <c r="P201" s="225"/>
      <c r="Q201" s="225"/>
      <c r="R201" s="249"/>
    </row>
    <row r="202" spans="1:18" s="8" customFormat="1" ht="18" customHeight="1">
      <c r="A202" s="65" t="s">
        <v>629</v>
      </c>
      <c r="B202" s="66" t="s">
        <v>148</v>
      </c>
      <c r="C202" s="62"/>
      <c r="D202" s="62"/>
      <c r="E202" s="349"/>
      <c r="F202" s="62"/>
      <c r="G202" s="62"/>
      <c r="H202" s="62"/>
      <c r="I202" s="259"/>
      <c r="J202" s="287"/>
      <c r="K202" s="287"/>
      <c r="L202" s="69"/>
      <c r="M202" s="201"/>
      <c r="N202" s="201"/>
      <c r="O202" s="202">
        <f t="shared" si="27"/>
        <v>0</v>
      </c>
      <c r="P202" s="225"/>
      <c r="Q202" s="225">
        <f t="shared" si="28"/>
        <v>0</v>
      </c>
      <c r="R202" s="249">
        <f t="shared" si="29"/>
        <v>0</v>
      </c>
    </row>
    <row r="203" spans="1:18" s="8" customFormat="1" ht="12.75" customHeight="1">
      <c r="A203" s="198" t="s">
        <v>630</v>
      </c>
      <c r="B203" s="195" t="s">
        <v>434</v>
      </c>
      <c r="C203" s="195" t="s">
        <v>424</v>
      </c>
      <c r="D203" s="199" t="s">
        <v>433</v>
      </c>
      <c r="E203" s="344" t="s">
        <v>22</v>
      </c>
      <c r="F203" s="200">
        <v>36</v>
      </c>
      <c r="G203" s="406">
        <v>353.21</v>
      </c>
      <c r="H203" s="202">
        <f>F203*G203</f>
        <v>12715.56</v>
      </c>
      <c r="I203" s="220">
        <f>H203/$H$223</f>
        <v>0.0003</v>
      </c>
      <c r="J203" s="294"/>
      <c r="K203" s="294"/>
      <c r="L203" s="69"/>
      <c r="M203" s="201"/>
      <c r="N203" s="201"/>
      <c r="O203" s="202"/>
      <c r="P203" s="225"/>
      <c r="Q203" s="225"/>
      <c r="R203" s="249"/>
    </row>
    <row r="204" spans="1:18" s="8" customFormat="1" ht="12.75" customHeight="1">
      <c r="A204" s="198" t="s">
        <v>677</v>
      </c>
      <c r="B204" s="195">
        <v>41579</v>
      </c>
      <c r="C204" s="195" t="s">
        <v>85</v>
      </c>
      <c r="D204" s="199" t="s">
        <v>149</v>
      </c>
      <c r="E204" s="344" t="s">
        <v>171</v>
      </c>
      <c r="F204" s="200">
        <v>36</v>
      </c>
      <c r="G204" s="406">
        <f aca="true" t="shared" si="36" ref="G204:G216">TRUNC(R204,2)</f>
        <v>781.64</v>
      </c>
      <c r="H204" s="202">
        <f>F204*G204</f>
        <v>28139.04</v>
      </c>
      <c r="I204" s="220">
        <f>H204/$H$223</f>
        <v>0.0007</v>
      </c>
      <c r="J204" s="294"/>
      <c r="K204" s="294"/>
      <c r="L204" s="69"/>
      <c r="M204" s="201"/>
      <c r="N204" s="201"/>
      <c r="O204" s="202">
        <f t="shared" si="27"/>
        <v>0</v>
      </c>
      <c r="P204" s="225">
        <v>540.12</v>
      </c>
      <c r="Q204" s="225">
        <f t="shared" si="28"/>
        <v>633.83</v>
      </c>
      <c r="R204" s="248">
        <f t="shared" si="29"/>
        <v>781.64</v>
      </c>
    </row>
    <row r="205" spans="1:18" s="8" customFormat="1" ht="25.5">
      <c r="A205" s="198" t="s">
        <v>678</v>
      </c>
      <c r="B205" s="195">
        <v>41678</v>
      </c>
      <c r="C205" s="195" t="s">
        <v>85</v>
      </c>
      <c r="D205" s="199" t="s">
        <v>150</v>
      </c>
      <c r="E205" s="344" t="s">
        <v>171</v>
      </c>
      <c r="F205" s="200">
        <v>36</v>
      </c>
      <c r="G205" s="406">
        <f t="shared" si="36"/>
        <v>1281.9</v>
      </c>
      <c r="H205" s="202">
        <f aca="true" t="shared" si="37" ref="H205:H216">F205*G205</f>
        <v>46148.4</v>
      </c>
      <c r="I205" s="220">
        <f aca="true" t="shared" si="38" ref="I205:I216">H205/$H$223</f>
        <v>0.0012</v>
      </c>
      <c r="J205" s="294"/>
      <c r="K205" s="294"/>
      <c r="L205" s="69"/>
      <c r="M205" s="201"/>
      <c r="N205" s="201"/>
      <c r="O205" s="202">
        <f t="shared" si="27"/>
        <v>0</v>
      </c>
      <c r="P205" s="225">
        <v>885.8</v>
      </c>
      <c r="Q205" s="225">
        <f t="shared" si="28"/>
        <v>1039.49</v>
      </c>
      <c r="R205" s="248">
        <f t="shared" si="29"/>
        <v>1281.9</v>
      </c>
    </row>
    <row r="206" spans="1:18" s="8" customFormat="1" ht="25.5">
      <c r="A206" s="198" t="s">
        <v>679</v>
      </c>
      <c r="B206" s="195">
        <v>41580</v>
      </c>
      <c r="C206" s="195" t="s">
        <v>85</v>
      </c>
      <c r="D206" s="199" t="s">
        <v>151</v>
      </c>
      <c r="E206" s="344" t="s">
        <v>171</v>
      </c>
      <c r="F206" s="200">
        <v>36</v>
      </c>
      <c r="G206" s="406">
        <f t="shared" si="36"/>
        <v>1313.17</v>
      </c>
      <c r="H206" s="202">
        <f t="shared" si="37"/>
        <v>47274.12</v>
      </c>
      <c r="I206" s="220">
        <f t="shared" si="38"/>
        <v>0.0012</v>
      </c>
      <c r="J206" s="294"/>
      <c r="K206" s="294"/>
      <c r="L206" s="69"/>
      <c r="M206" s="201"/>
      <c r="N206" s="201"/>
      <c r="O206" s="202">
        <f t="shared" si="27"/>
        <v>0</v>
      </c>
      <c r="P206" s="225">
        <v>907.41</v>
      </c>
      <c r="Q206" s="225">
        <f t="shared" si="28"/>
        <v>1064.85</v>
      </c>
      <c r="R206" s="248">
        <f t="shared" si="29"/>
        <v>1313.17</v>
      </c>
    </row>
    <row r="207" spans="1:18" s="8" customFormat="1" ht="28.5" customHeight="1">
      <c r="A207" s="198" t="s">
        <v>680</v>
      </c>
      <c r="B207" s="195">
        <v>41501</v>
      </c>
      <c r="C207" s="195" t="s">
        <v>85</v>
      </c>
      <c r="D207" s="199" t="s">
        <v>152</v>
      </c>
      <c r="E207" s="344" t="s">
        <v>104</v>
      </c>
      <c r="F207" s="200">
        <v>100</v>
      </c>
      <c r="G207" s="406">
        <f t="shared" si="36"/>
        <v>57.58</v>
      </c>
      <c r="H207" s="202">
        <f t="shared" si="37"/>
        <v>5758</v>
      </c>
      <c r="I207" s="220">
        <f t="shared" si="38"/>
        <v>0.0001</v>
      </c>
      <c r="J207" s="294"/>
      <c r="K207" s="294"/>
      <c r="L207" s="69"/>
      <c r="M207" s="201"/>
      <c r="N207" s="201"/>
      <c r="O207" s="202">
        <f t="shared" si="27"/>
        <v>0</v>
      </c>
      <c r="P207" s="225">
        <v>39.79</v>
      </c>
      <c r="Q207" s="225">
        <f t="shared" si="28"/>
        <v>46.69</v>
      </c>
      <c r="R207" s="248">
        <f t="shared" si="29"/>
        <v>57.58</v>
      </c>
    </row>
    <row r="208" spans="1:18" s="8" customFormat="1" ht="25.5">
      <c r="A208" s="198" t="s">
        <v>681</v>
      </c>
      <c r="B208" s="195">
        <v>41499</v>
      </c>
      <c r="C208" s="195" t="s">
        <v>85</v>
      </c>
      <c r="D208" s="199" t="s">
        <v>153</v>
      </c>
      <c r="E208" s="344" t="s">
        <v>104</v>
      </c>
      <c r="F208" s="200">
        <v>100</v>
      </c>
      <c r="G208" s="406">
        <f t="shared" si="36"/>
        <v>478.52</v>
      </c>
      <c r="H208" s="202">
        <f t="shared" si="37"/>
        <v>47852</v>
      </c>
      <c r="I208" s="220">
        <f t="shared" si="38"/>
        <v>0.0012</v>
      </c>
      <c r="J208" s="294"/>
      <c r="K208" s="294"/>
      <c r="L208" s="69"/>
      <c r="M208" s="201"/>
      <c r="N208" s="201"/>
      <c r="O208" s="202">
        <f t="shared" si="27"/>
        <v>0</v>
      </c>
      <c r="P208" s="225">
        <v>330.66</v>
      </c>
      <c r="Q208" s="225">
        <f t="shared" si="28"/>
        <v>388.03</v>
      </c>
      <c r="R208" s="248">
        <f t="shared" si="29"/>
        <v>478.52</v>
      </c>
    </row>
    <row r="209" spans="1:18" s="8" customFormat="1" ht="25.5">
      <c r="A209" s="198" t="s">
        <v>682</v>
      </c>
      <c r="B209" s="195">
        <v>41503</v>
      </c>
      <c r="C209" s="195" t="s">
        <v>85</v>
      </c>
      <c r="D209" s="199" t="s">
        <v>154</v>
      </c>
      <c r="E209" s="344" t="s">
        <v>104</v>
      </c>
      <c r="F209" s="200">
        <v>100</v>
      </c>
      <c r="G209" s="406">
        <f t="shared" si="36"/>
        <v>698.47</v>
      </c>
      <c r="H209" s="202">
        <f t="shared" si="37"/>
        <v>69847</v>
      </c>
      <c r="I209" s="220">
        <f t="shared" si="38"/>
        <v>0.0018</v>
      </c>
      <c r="J209" s="294"/>
      <c r="K209" s="294"/>
      <c r="L209" s="69"/>
      <c r="M209" s="201"/>
      <c r="N209" s="201"/>
      <c r="O209" s="202">
        <f t="shared" si="27"/>
        <v>0</v>
      </c>
      <c r="P209" s="225">
        <v>482.65</v>
      </c>
      <c r="Q209" s="225">
        <f t="shared" si="28"/>
        <v>566.39</v>
      </c>
      <c r="R209" s="248">
        <f t="shared" si="29"/>
        <v>698.47</v>
      </c>
    </row>
    <row r="210" spans="1:18" s="8" customFormat="1" ht="25.5">
      <c r="A210" s="198" t="s">
        <v>683</v>
      </c>
      <c r="B210" s="195">
        <v>41527</v>
      </c>
      <c r="C210" s="195" t="s">
        <v>85</v>
      </c>
      <c r="D210" s="199" t="s">
        <v>155</v>
      </c>
      <c r="E210" s="344" t="s">
        <v>104</v>
      </c>
      <c r="F210" s="200">
        <v>6</v>
      </c>
      <c r="G210" s="406">
        <f t="shared" si="36"/>
        <v>2956.3</v>
      </c>
      <c r="H210" s="202">
        <f>F210*G210</f>
        <v>17737.8</v>
      </c>
      <c r="I210" s="220">
        <f t="shared" si="38"/>
        <v>0.0004</v>
      </c>
      <c r="J210" s="294"/>
      <c r="K210" s="294"/>
      <c r="L210" s="69"/>
      <c r="M210" s="201"/>
      <c r="N210" s="201"/>
      <c r="O210" s="202">
        <f t="shared" si="27"/>
        <v>0</v>
      </c>
      <c r="P210" s="225">
        <v>2042.83</v>
      </c>
      <c r="Q210" s="225">
        <f t="shared" si="28"/>
        <v>2397.26</v>
      </c>
      <c r="R210" s="248">
        <f t="shared" si="29"/>
        <v>2956.3</v>
      </c>
    </row>
    <row r="211" spans="1:18" s="8" customFormat="1" ht="30" customHeight="1">
      <c r="A211" s="198" t="s">
        <v>684</v>
      </c>
      <c r="B211" s="195">
        <v>100882</v>
      </c>
      <c r="C211" s="195" t="s">
        <v>85</v>
      </c>
      <c r="D211" s="199" t="s">
        <v>156</v>
      </c>
      <c r="E211" s="344" t="s">
        <v>104</v>
      </c>
      <c r="F211" s="200">
        <v>450</v>
      </c>
      <c r="G211" s="406">
        <f t="shared" si="36"/>
        <v>227.74</v>
      </c>
      <c r="H211" s="202">
        <f t="shared" si="37"/>
        <v>102483</v>
      </c>
      <c r="I211" s="220">
        <f t="shared" si="38"/>
        <v>0.0026</v>
      </c>
      <c r="J211" s="294"/>
      <c r="K211" s="294"/>
      <c r="L211" s="69"/>
      <c r="M211" s="201"/>
      <c r="N211" s="201"/>
      <c r="O211" s="202">
        <f t="shared" si="27"/>
        <v>0</v>
      </c>
      <c r="P211" s="225">
        <v>157.37</v>
      </c>
      <c r="Q211" s="225">
        <f t="shared" si="28"/>
        <v>184.67</v>
      </c>
      <c r="R211" s="248">
        <f t="shared" si="29"/>
        <v>227.74</v>
      </c>
    </row>
    <row r="212" spans="1:18" s="8" customFormat="1" ht="12" customHeight="1">
      <c r="A212" s="198" t="s">
        <v>685</v>
      </c>
      <c r="B212" s="195">
        <v>41546</v>
      </c>
      <c r="C212" s="195" t="s">
        <v>85</v>
      </c>
      <c r="D212" s="199" t="s">
        <v>157</v>
      </c>
      <c r="E212" s="344" t="s">
        <v>39</v>
      </c>
      <c r="F212" s="200">
        <v>120</v>
      </c>
      <c r="G212" s="406">
        <f t="shared" si="36"/>
        <v>341.21</v>
      </c>
      <c r="H212" s="202">
        <f t="shared" si="37"/>
        <v>40945.2</v>
      </c>
      <c r="I212" s="220">
        <f t="shared" si="38"/>
        <v>0.001</v>
      </c>
      <c r="J212" s="294"/>
      <c r="K212" s="294"/>
      <c r="L212" s="69"/>
      <c r="M212" s="201"/>
      <c r="N212" s="201"/>
      <c r="O212" s="202">
        <f t="shared" si="27"/>
        <v>0</v>
      </c>
      <c r="P212" s="225">
        <v>235.78</v>
      </c>
      <c r="Q212" s="225">
        <f t="shared" si="28"/>
        <v>276.69</v>
      </c>
      <c r="R212" s="248">
        <f t="shared" si="29"/>
        <v>341.21</v>
      </c>
    </row>
    <row r="213" spans="1:18" s="8" customFormat="1" ht="12" customHeight="1">
      <c r="A213" s="198" t="s">
        <v>686</v>
      </c>
      <c r="B213" s="195">
        <v>41545</v>
      </c>
      <c r="C213" s="195" t="s">
        <v>85</v>
      </c>
      <c r="D213" s="199" t="s">
        <v>158</v>
      </c>
      <c r="E213" s="344" t="s">
        <v>39</v>
      </c>
      <c r="F213" s="200">
        <v>60</v>
      </c>
      <c r="G213" s="406">
        <f t="shared" si="36"/>
        <v>292.96</v>
      </c>
      <c r="H213" s="202">
        <f t="shared" si="37"/>
        <v>17577.6</v>
      </c>
      <c r="I213" s="220">
        <f t="shared" si="38"/>
        <v>0.0004</v>
      </c>
      <c r="J213" s="294"/>
      <c r="K213" s="294"/>
      <c r="L213" s="69"/>
      <c r="M213" s="201"/>
      <c r="N213" s="201"/>
      <c r="O213" s="202">
        <f t="shared" si="27"/>
        <v>0</v>
      </c>
      <c r="P213" s="225">
        <v>202.44</v>
      </c>
      <c r="Q213" s="225">
        <f t="shared" si="28"/>
        <v>237.56</v>
      </c>
      <c r="R213" s="248">
        <f t="shared" si="29"/>
        <v>292.96</v>
      </c>
    </row>
    <row r="214" spans="1:18" s="8" customFormat="1" ht="12" customHeight="1">
      <c r="A214" s="198" t="s">
        <v>687</v>
      </c>
      <c r="B214" s="195">
        <v>41547</v>
      </c>
      <c r="C214" s="195" t="s">
        <v>85</v>
      </c>
      <c r="D214" s="199" t="s">
        <v>159</v>
      </c>
      <c r="E214" s="344" t="s">
        <v>39</v>
      </c>
      <c r="F214" s="200">
        <v>60</v>
      </c>
      <c r="G214" s="406">
        <f t="shared" si="36"/>
        <v>285.87</v>
      </c>
      <c r="H214" s="202">
        <f t="shared" si="37"/>
        <v>17152.2</v>
      </c>
      <c r="I214" s="220">
        <f t="shared" si="38"/>
        <v>0.0004</v>
      </c>
      <c r="J214" s="294"/>
      <c r="K214" s="294"/>
      <c r="L214" s="69"/>
      <c r="M214" s="201"/>
      <c r="N214" s="201"/>
      <c r="O214" s="202">
        <f t="shared" si="27"/>
        <v>0</v>
      </c>
      <c r="P214" s="225">
        <v>197.54</v>
      </c>
      <c r="Q214" s="225">
        <f t="shared" si="28"/>
        <v>231.81</v>
      </c>
      <c r="R214" s="248">
        <f t="shared" si="29"/>
        <v>285.87</v>
      </c>
    </row>
    <row r="215" spans="1:18" s="8" customFormat="1" ht="12" customHeight="1">
      <c r="A215" s="198" t="s">
        <v>688</v>
      </c>
      <c r="B215" s="195">
        <v>41544</v>
      </c>
      <c r="C215" s="195" t="s">
        <v>85</v>
      </c>
      <c r="D215" s="199" t="s">
        <v>160</v>
      </c>
      <c r="E215" s="344" t="s">
        <v>39</v>
      </c>
      <c r="F215" s="200">
        <v>120</v>
      </c>
      <c r="G215" s="406">
        <f t="shared" si="36"/>
        <v>541.78</v>
      </c>
      <c r="H215" s="202">
        <f t="shared" si="37"/>
        <v>65013.6</v>
      </c>
      <c r="I215" s="220">
        <f t="shared" si="38"/>
        <v>0.0016</v>
      </c>
      <c r="J215" s="294"/>
      <c r="K215" s="294"/>
      <c r="L215" s="69"/>
      <c r="M215" s="201"/>
      <c r="N215" s="201"/>
      <c r="O215" s="202">
        <f t="shared" si="27"/>
        <v>0</v>
      </c>
      <c r="P215" s="225">
        <v>374.38</v>
      </c>
      <c r="Q215" s="225">
        <f t="shared" si="28"/>
        <v>439.33</v>
      </c>
      <c r="R215" s="248">
        <f t="shared" si="29"/>
        <v>541.78</v>
      </c>
    </row>
    <row r="216" spans="1:18" s="8" customFormat="1" ht="12.75" customHeight="1">
      <c r="A216" s="198" t="s">
        <v>689</v>
      </c>
      <c r="B216" s="195">
        <v>41495</v>
      </c>
      <c r="C216" s="195" t="s">
        <v>85</v>
      </c>
      <c r="D216" s="199" t="s">
        <v>161</v>
      </c>
      <c r="E216" s="344" t="s">
        <v>112</v>
      </c>
      <c r="F216" s="200">
        <v>18</v>
      </c>
      <c r="G216" s="406">
        <f t="shared" si="36"/>
        <v>1031.77</v>
      </c>
      <c r="H216" s="202">
        <f t="shared" si="37"/>
        <v>18571.86</v>
      </c>
      <c r="I216" s="220">
        <f t="shared" si="38"/>
        <v>0.0005</v>
      </c>
      <c r="J216" s="294"/>
      <c r="K216" s="294"/>
      <c r="L216" s="69"/>
      <c r="M216" s="201"/>
      <c r="N216" s="201"/>
      <c r="O216" s="202">
        <f t="shared" si="27"/>
        <v>0</v>
      </c>
      <c r="P216" s="225">
        <v>712.96</v>
      </c>
      <c r="Q216" s="225">
        <f t="shared" si="28"/>
        <v>836.66</v>
      </c>
      <c r="R216" s="248">
        <f t="shared" si="29"/>
        <v>1031.77</v>
      </c>
    </row>
    <row r="217" spans="1:18" s="8" customFormat="1" ht="21" customHeight="1">
      <c r="A217" s="592" t="s">
        <v>693</v>
      </c>
      <c r="B217" s="592"/>
      <c r="C217" s="592"/>
      <c r="D217" s="592"/>
      <c r="E217" s="592"/>
      <c r="F217" s="592"/>
      <c r="G217" s="592"/>
      <c r="H217" s="196">
        <f>SUM(H203:H216)</f>
        <v>537215.38</v>
      </c>
      <c r="I217" s="197">
        <f>SUM(I203:I216)</f>
        <v>0.0134</v>
      </c>
      <c r="J217" s="295"/>
      <c r="K217" s="295"/>
      <c r="L217" s="69"/>
      <c r="M217" s="201"/>
      <c r="N217" s="201"/>
      <c r="O217" s="202">
        <f t="shared" si="27"/>
        <v>0</v>
      </c>
      <c r="P217" s="225"/>
      <c r="Q217" s="225">
        <f t="shared" si="28"/>
        <v>0</v>
      </c>
      <c r="R217" s="248">
        <f>P217*1.2332</f>
        <v>0</v>
      </c>
    </row>
    <row r="218" spans="1:18" s="8" customFormat="1" ht="4.5" customHeight="1">
      <c r="A218" s="70"/>
      <c r="B218" s="71"/>
      <c r="C218" s="71"/>
      <c r="D218" s="71"/>
      <c r="E218" s="350"/>
      <c r="F218" s="71"/>
      <c r="G218" s="71"/>
      <c r="H218" s="72"/>
      <c r="I218" s="73"/>
      <c r="J218" s="295"/>
      <c r="K218" s="295"/>
      <c r="L218" s="69"/>
      <c r="M218" s="227"/>
      <c r="N218" s="227"/>
      <c r="O218" s="227"/>
      <c r="P218" s="227"/>
      <c r="Q218" s="227"/>
      <c r="R218" s="250"/>
    </row>
    <row r="219" spans="1:18" s="8" customFormat="1" ht="18" customHeight="1">
      <c r="A219" s="64" t="s">
        <v>690</v>
      </c>
      <c r="B219" s="67" t="s">
        <v>174</v>
      </c>
      <c r="C219" s="77"/>
      <c r="D219" s="77"/>
      <c r="E219" s="353"/>
      <c r="F219" s="77"/>
      <c r="G219" s="77"/>
      <c r="H219" s="77"/>
      <c r="I219" s="261"/>
      <c r="J219" s="287"/>
      <c r="K219" s="287"/>
      <c r="L219" s="69"/>
      <c r="M219" s="227"/>
      <c r="N219" s="227"/>
      <c r="O219" s="227"/>
      <c r="P219" s="227"/>
      <c r="Q219" s="227"/>
      <c r="R219" s="250"/>
    </row>
    <row r="220" spans="1:18" s="8" customFormat="1" ht="13.5" customHeight="1">
      <c r="A220" s="464" t="s">
        <v>691</v>
      </c>
      <c r="B220" s="465" t="s">
        <v>735</v>
      </c>
      <c r="C220" s="466" t="s">
        <v>21</v>
      </c>
      <c r="D220" s="467" t="s">
        <v>175</v>
      </c>
      <c r="E220" s="348" t="s">
        <v>112</v>
      </c>
      <c r="F220" s="74">
        <v>1</v>
      </c>
      <c r="G220" s="101">
        <f>Composições!J177</f>
        <v>1736778</v>
      </c>
      <c r="H220" s="59">
        <f>G220</f>
        <v>1736778</v>
      </c>
      <c r="I220" s="60">
        <f>H220/$H$223</f>
        <v>0.0439</v>
      </c>
      <c r="J220" s="293"/>
      <c r="K220" s="293"/>
      <c r="L220" s="69"/>
      <c r="M220" s="227"/>
      <c r="N220" s="227"/>
      <c r="O220" s="227"/>
      <c r="P220" s="227"/>
      <c r="Q220" s="227"/>
      <c r="R220" s="250"/>
    </row>
    <row r="221" spans="1:18" s="8" customFormat="1" ht="21" customHeight="1">
      <c r="A221" s="602" t="s">
        <v>694</v>
      </c>
      <c r="B221" s="602"/>
      <c r="C221" s="602"/>
      <c r="D221" s="602"/>
      <c r="E221" s="602"/>
      <c r="F221" s="602"/>
      <c r="G221" s="602"/>
      <c r="H221" s="55">
        <f>SUM(H220)</f>
        <v>1736778</v>
      </c>
      <c r="I221" s="48">
        <f>SUM(I220)</f>
        <v>0.0439</v>
      </c>
      <c r="J221" s="295"/>
      <c r="K221" s="295"/>
      <c r="L221" s="69"/>
      <c r="M221" s="227"/>
      <c r="N221" s="227"/>
      <c r="O221" s="227"/>
      <c r="P221" s="227"/>
      <c r="Q221" s="227"/>
      <c r="R221" s="250"/>
    </row>
    <row r="222" spans="1:18" s="8" customFormat="1" ht="4.5" customHeight="1">
      <c r="A222" s="70"/>
      <c r="B222" s="71"/>
      <c r="C222" s="71"/>
      <c r="D222" s="71"/>
      <c r="E222" s="350"/>
      <c r="F222" s="71"/>
      <c r="G222" s="71"/>
      <c r="H222" s="72"/>
      <c r="I222" s="73"/>
      <c r="J222" s="295"/>
      <c r="K222" s="295"/>
      <c r="L222" s="69"/>
      <c r="M222" s="227"/>
      <c r="N222" s="227"/>
      <c r="O222" s="227"/>
      <c r="P222" s="227"/>
      <c r="Q222" s="227"/>
      <c r="R222" s="250"/>
    </row>
    <row r="223" spans="1:18" s="9" customFormat="1" ht="18" customHeight="1">
      <c r="A223" s="603" t="s">
        <v>12</v>
      </c>
      <c r="B223" s="604"/>
      <c r="C223" s="604"/>
      <c r="D223" s="604"/>
      <c r="E223" s="604"/>
      <c r="F223" s="604"/>
      <c r="G223" s="605"/>
      <c r="H223" s="49">
        <f>H221+H217+H200+H189+H174+H165+H153+H141+H132+H109+H61+H47+H39+H35+H28</f>
        <v>39605430.36</v>
      </c>
      <c r="I223" s="50">
        <f>H223/$H$223</f>
        <v>1</v>
      </c>
      <c r="J223" s="300"/>
      <c r="K223" s="300"/>
      <c r="M223" s="265"/>
      <c r="N223" s="265"/>
      <c r="O223" s="265"/>
      <c r="P223" s="227"/>
      <c r="Q223" s="227"/>
      <c r="R223" s="250"/>
    </row>
    <row r="224" spans="1:18" s="11" customFormat="1" ht="12.75" customHeight="1">
      <c r="A224" s="588" t="s">
        <v>13</v>
      </c>
      <c r="B224" s="588"/>
      <c r="C224" s="588"/>
      <c r="D224" s="588"/>
      <c r="E224" s="588"/>
      <c r="F224" s="588"/>
      <c r="G224" s="588"/>
      <c r="H224" s="588"/>
      <c r="I224" s="262"/>
      <c r="J224" s="301"/>
      <c r="K224" s="301"/>
      <c r="L224" s="10"/>
      <c r="M224" s="266"/>
      <c r="N224" s="266"/>
      <c r="O224" s="266"/>
      <c r="P224" s="228"/>
      <c r="Q224" s="229"/>
      <c r="R224" s="251"/>
    </row>
    <row r="225" spans="1:18" s="15" customFormat="1" ht="12.75">
      <c r="A225" s="564" t="s">
        <v>783</v>
      </c>
      <c r="B225" s="565"/>
      <c r="C225" s="565"/>
      <c r="D225" s="565"/>
      <c r="E225" s="565"/>
      <c r="F225" s="565"/>
      <c r="G225" s="565"/>
      <c r="H225" s="565"/>
      <c r="I225" s="565"/>
      <c r="J225" s="302"/>
      <c r="K225" s="302"/>
      <c r="L225" s="14"/>
      <c r="M225" s="267"/>
      <c r="N225" s="267"/>
      <c r="O225" s="267"/>
      <c r="P225" s="230"/>
      <c r="Q225" s="231"/>
      <c r="R225" s="252"/>
    </row>
    <row r="226" spans="1:18" s="15" customFormat="1" ht="12.75">
      <c r="A226" s="564" t="s">
        <v>206</v>
      </c>
      <c r="B226" s="565"/>
      <c r="C226" s="565"/>
      <c r="D226" s="565"/>
      <c r="E226" s="565"/>
      <c r="F226" s="565"/>
      <c r="G226" s="565"/>
      <c r="H226" s="565"/>
      <c r="I226" s="565"/>
      <c r="J226" s="302"/>
      <c r="K226" s="302"/>
      <c r="L226" s="14"/>
      <c r="M226" s="267"/>
      <c r="N226" s="267"/>
      <c r="O226" s="267"/>
      <c r="P226" s="230"/>
      <c r="Q226" s="244"/>
      <c r="R226" s="246"/>
    </row>
    <row r="227" spans="1:18" s="15" customFormat="1" ht="13.5" customHeight="1">
      <c r="A227" s="564" t="s">
        <v>207</v>
      </c>
      <c r="B227" s="565"/>
      <c r="C227" s="565"/>
      <c r="D227" s="565"/>
      <c r="E227" s="565"/>
      <c r="F227" s="565"/>
      <c r="G227" s="565"/>
      <c r="H227" s="565"/>
      <c r="I227" s="565"/>
      <c r="J227" s="302"/>
      <c r="K227" s="302"/>
      <c r="L227" s="14"/>
      <c r="M227" s="267"/>
      <c r="N227" s="267"/>
      <c r="O227" s="267"/>
      <c r="P227" s="230"/>
      <c r="Q227" s="231"/>
      <c r="R227" s="252"/>
    </row>
    <row r="228" spans="1:18" s="15" customFormat="1" ht="12.75">
      <c r="A228" s="565" t="s">
        <v>14</v>
      </c>
      <c r="B228" s="565"/>
      <c r="C228" s="565"/>
      <c r="D228" s="565"/>
      <c r="E228" s="565"/>
      <c r="F228" s="565"/>
      <c r="G228" s="565"/>
      <c r="H228" s="565"/>
      <c r="I228" s="565"/>
      <c r="J228" s="302"/>
      <c r="K228" s="302"/>
      <c r="L228" s="16"/>
      <c r="M228" s="268"/>
      <c r="N228" s="268"/>
      <c r="O228" s="268"/>
      <c r="P228" s="17"/>
      <c r="Q228" s="232"/>
      <c r="R228" s="253"/>
    </row>
  </sheetData>
  <sheetProtection selectLockedCells="1" selectUnlockedCells="1"/>
  <mergeCells count="29">
    <mergeCell ref="A225:I225"/>
    <mergeCell ref="A226:I226"/>
    <mergeCell ref="A217:G217"/>
    <mergeCell ref="A221:G221"/>
    <mergeCell ref="A223:G223"/>
    <mergeCell ref="A141:G141"/>
    <mergeCell ref="A165:G165"/>
    <mergeCell ref="A174:G174"/>
    <mergeCell ref="A200:G200"/>
    <mergeCell ref="A39:G39"/>
    <mergeCell ref="A224:H224"/>
    <mergeCell ref="A61:G61"/>
    <mergeCell ref="A109:G109"/>
    <mergeCell ref="A153:G153"/>
    <mergeCell ref="A189:G189"/>
    <mergeCell ref="A132:G132"/>
    <mergeCell ref="A110:I110"/>
    <mergeCell ref="A133:I133"/>
    <mergeCell ref="B111:D111"/>
    <mergeCell ref="A227:I227"/>
    <mergeCell ref="A228:I228"/>
    <mergeCell ref="A1:I6"/>
    <mergeCell ref="A10:I10"/>
    <mergeCell ref="A7:G7"/>
    <mergeCell ref="A8:G8"/>
    <mergeCell ref="A9:G9"/>
    <mergeCell ref="A47:G47"/>
    <mergeCell ref="A28:G28"/>
    <mergeCell ref="A35:G35"/>
  </mergeCells>
  <printOptions gridLines="1" horizontalCentered="1"/>
  <pageMargins left="0.7874015748031497" right="0.3937007874015748" top="0.5905511811023623" bottom="0.5905511811023623" header="0.5118110236220472" footer="0.03937007874015748"/>
  <pageSetup horizontalDpi="300" verticalDpi="300" orientation="portrait" paperSize="9" scale="53" r:id="rId2"/>
  <headerFooter alignWithMargins="0">
    <oddFooter>&amp;C&amp;P/&amp;N&amp;R&amp;F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7"/>
  <sheetViews>
    <sheetView showZeros="0" view="pageBreakPreview" zoomScaleSheetLayoutView="100" zoomScalePageLayoutView="0" workbookViewId="0" topLeftCell="A1">
      <selection activeCell="A118" sqref="A118:I118"/>
    </sheetView>
  </sheetViews>
  <sheetFormatPr defaultColWidth="9.140625" defaultRowHeight="12.75"/>
  <cols>
    <col min="1" max="1" width="9.28125" style="0" customWidth="1"/>
    <col min="2" max="2" width="8.00390625" style="0" bestFit="1" customWidth="1"/>
    <col min="3" max="3" width="43.7109375" style="0" customWidth="1"/>
    <col min="4" max="4" width="13.140625" style="0" customWidth="1"/>
    <col min="5" max="5" width="8.7109375" style="0" customWidth="1"/>
    <col min="6" max="6" width="8.8515625" style="0" customWidth="1"/>
    <col min="7" max="7" width="11.421875" style="0" customWidth="1"/>
    <col min="8" max="8" width="14.57421875" style="0" customWidth="1"/>
    <col min="9" max="9" width="12.8515625" style="0" customWidth="1"/>
    <col min="10" max="10" width="14.57421875" style="0" customWidth="1"/>
    <col min="11" max="11" width="3.00390625" style="0" customWidth="1"/>
  </cols>
  <sheetData>
    <row r="1" s="41" customFormat="1" ht="18" customHeight="1" thickBot="1"/>
    <row r="2" spans="1:10" s="15" customFormat="1" ht="18" customHeight="1">
      <c r="A2" s="710" t="s">
        <v>62</v>
      </c>
      <c r="B2" s="711"/>
      <c r="C2" s="790" t="s">
        <v>99</v>
      </c>
      <c r="D2" s="790"/>
      <c r="E2" s="790"/>
      <c r="F2" s="790"/>
      <c r="G2" s="790"/>
      <c r="H2" s="790"/>
      <c r="I2" s="790"/>
      <c r="J2" s="791"/>
    </row>
    <row r="3" spans="1:10" s="41" customFormat="1" ht="18" customHeight="1">
      <c r="A3" s="804" t="s">
        <v>701</v>
      </c>
      <c r="B3" s="805"/>
      <c r="C3" s="805"/>
      <c r="D3" s="805"/>
      <c r="E3" s="805"/>
      <c r="F3" s="805"/>
      <c r="G3" s="805"/>
      <c r="H3" s="792" t="s">
        <v>700</v>
      </c>
      <c r="I3" s="793"/>
      <c r="J3" s="794"/>
    </row>
    <row r="4" spans="1:10" s="41" customFormat="1" ht="18" customHeight="1">
      <c r="A4" s="652" t="s">
        <v>24</v>
      </c>
      <c r="B4" s="653" t="s">
        <v>696</v>
      </c>
      <c r="C4" s="653" t="s">
        <v>25</v>
      </c>
      <c r="D4" s="727" t="s">
        <v>26</v>
      </c>
      <c r="E4" s="642" t="s">
        <v>27</v>
      </c>
      <c r="F4" s="642"/>
      <c r="G4" s="642"/>
      <c r="H4" s="642" t="s">
        <v>28</v>
      </c>
      <c r="I4" s="642"/>
      <c r="J4" s="684"/>
    </row>
    <row r="5" spans="1:10" s="41" customFormat="1" ht="25.5">
      <c r="A5" s="652"/>
      <c r="B5" s="653"/>
      <c r="C5" s="653"/>
      <c r="D5" s="727"/>
      <c r="E5" s="336" t="s">
        <v>29</v>
      </c>
      <c r="F5" s="336" t="s">
        <v>30</v>
      </c>
      <c r="G5" s="336" t="s">
        <v>31</v>
      </c>
      <c r="H5" s="336" t="s">
        <v>30</v>
      </c>
      <c r="I5" s="336" t="s">
        <v>31</v>
      </c>
      <c r="J5" s="28" t="s">
        <v>32</v>
      </c>
    </row>
    <row r="6" spans="1:10" s="41" customFormat="1" ht="25.5">
      <c r="A6" s="367">
        <v>30004</v>
      </c>
      <c r="B6" s="360" t="s">
        <v>424</v>
      </c>
      <c r="C6" s="361" t="s">
        <v>196</v>
      </c>
      <c r="D6" s="362" t="s">
        <v>183</v>
      </c>
      <c r="E6" s="270">
        <v>1</v>
      </c>
      <c r="F6" s="270">
        <v>0.5</v>
      </c>
      <c r="G6" s="270">
        <v>0.5</v>
      </c>
      <c r="H6" s="364">
        <v>196.62</v>
      </c>
      <c r="I6" s="364">
        <v>55.97</v>
      </c>
      <c r="J6" s="368">
        <f>ROUND(E6*((F6*H6)+(G6*I6)),2)</f>
        <v>126.3</v>
      </c>
    </row>
    <row r="7" spans="1:10" s="41" customFormat="1" ht="25.5">
      <c r="A7" s="369">
        <v>30075</v>
      </c>
      <c r="B7" s="360" t="s">
        <v>424</v>
      </c>
      <c r="C7" s="363" t="s">
        <v>64</v>
      </c>
      <c r="D7" s="362" t="s">
        <v>183</v>
      </c>
      <c r="E7" s="270">
        <v>1</v>
      </c>
      <c r="F7" s="270">
        <v>0.3</v>
      </c>
      <c r="G7" s="270">
        <v>0.7</v>
      </c>
      <c r="H7" s="364">
        <v>16.37</v>
      </c>
      <c r="I7" s="364">
        <v>14.16</v>
      </c>
      <c r="J7" s="368">
        <f>ROUND(E7*((F7*H7)+(G7*I7)),2)</f>
        <v>14.82</v>
      </c>
    </row>
    <row r="8" spans="1:10" s="41" customFormat="1" ht="25.5">
      <c r="A8" s="367">
        <v>30060</v>
      </c>
      <c r="B8" s="360" t="s">
        <v>424</v>
      </c>
      <c r="C8" s="361" t="s">
        <v>697</v>
      </c>
      <c r="D8" s="362" t="s">
        <v>183</v>
      </c>
      <c r="E8" s="270">
        <v>1</v>
      </c>
      <c r="F8" s="270">
        <v>0.3</v>
      </c>
      <c r="G8" s="270">
        <v>0.7</v>
      </c>
      <c r="H8" s="364">
        <v>205.41</v>
      </c>
      <c r="I8" s="364">
        <v>35.49</v>
      </c>
      <c r="J8" s="368">
        <f>ROUND(E8*((F8*H8)+(G8*I8)),2)</f>
        <v>86.47</v>
      </c>
    </row>
    <row r="9" spans="1:10" s="41" customFormat="1" ht="25.5">
      <c r="A9" s="369">
        <v>30061</v>
      </c>
      <c r="B9" s="360" t="s">
        <v>424</v>
      </c>
      <c r="C9" s="363" t="s">
        <v>33</v>
      </c>
      <c r="D9" s="362" t="s">
        <v>183</v>
      </c>
      <c r="E9" s="270">
        <v>1</v>
      </c>
      <c r="F9" s="270">
        <v>0.3</v>
      </c>
      <c r="G9" s="270">
        <v>0.7</v>
      </c>
      <c r="H9" s="364">
        <v>19.17</v>
      </c>
      <c r="I9" s="364">
        <v>17.9</v>
      </c>
      <c r="J9" s="368">
        <f>ROUND(E9*((F9*H9)+(G9*I9)),2)</f>
        <v>18.28</v>
      </c>
    </row>
    <row r="10" spans="1:10" s="41" customFormat="1" ht="18" customHeight="1">
      <c r="A10" s="670" t="s">
        <v>34</v>
      </c>
      <c r="B10" s="672"/>
      <c r="C10" s="672"/>
      <c r="D10" s="672"/>
      <c r="E10" s="672"/>
      <c r="F10" s="672"/>
      <c r="G10" s="672"/>
      <c r="H10" s="672"/>
      <c r="I10" s="672"/>
      <c r="J10" s="370">
        <f>SUM(J6:J9)</f>
        <v>245.87</v>
      </c>
    </row>
    <row r="11" spans="1:10" s="41" customFormat="1" ht="25.5">
      <c r="A11" s="371" t="s">
        <v>24</v>
      </c>
      <c r="B11" s="335"/>
      <c r="C11" s="335" t="s">
        <v>35</v>
      </c>
      <c r="D11" s="335" t="s">
        <v>36</v>
      </c>
      <c r="E11" s="335"/>
      <c r="F11" s="335" t="s">
        <v>37</v>
      </c>
      <c r="G11" s="335"/>
      <c r="H11" s="642" t="s">
        <v>38</v>
      </c>
      <c r="I11" s="642"/>
      <c r="J11" s="372" t="s">
        <v>32</v>
      </c>
    </row>
    <row r="12" spans="1:10" s="41" customFormat="1" ht="18" customHeight="1">
      <c r="A12" s="373">
        <v>20063</v>
      </c>
      <c r="B12" s="360" t="s">
        <v>424</v>
      </c>
      <c r="C12" s="139" t="s">
        <v>699</v>
      </c>
      <c r="D12" s="319" t="s">
        <v>39</v>
      </c>
      <c r="E12" s="725">
        <v>1</v>
      </c>
      <c r="F12" s="725"/>
      <c r="G12" s="725"/>
      <c r="H12" s="725">
        <v>29.07</v>
      </c>
      <c r="I12" s="725"/>
      <c r="J12" s="374">
        <f>ROUND(H12*E12,2)</f>
        <v>29.07</v>
      </c>
    </row>
    <row r="13" spans="1:10" s="41" customFormat="1" ht="18" customHeight="1">
      <c r="A13" s="373">
        <v>20002</v>
      </c>
      <c r="B13" s="360" t="s">
        <v>424</v>
      </c>
      <c r="C13" s="139" t="s">
        <v>40</v>
      </c>
      <c r="D13" s="319" t="s">
        <v>39</v>
      </c>
      <c r="E13" s="725">
        <v>8</v>
      </c>
      <c r="F13" s="725"/>
      <c r="G13" s="725"/>
      <c r="H13" s="725">
        <v>12.86</v>
      </c>
      <c r="I13" s="725"/>
      <c r="J13" s="374">
        <f>ROUND(H13*E13,2)</f>
        <v>102.88</v>
      </c>
    </row>
    <row r="14" spans="1:10" s="41" customFormat="1" ht="18" customHeight="1">
      <c r="A14" s="670" t="s">
        <v>41</v>
      </c>
      <c r="B14" s="672"/>
      <c r="C14" s="672"/>
      <c r="D14" s="672"/>
      <c r="E14" s="672"/>
      <c r="F14" s="672"/>
      <c r="G14" s="672"/>
      <c r="H14" s="672"/>
      <c r="I14" s="672"/>
      <c r="J14" s="375">
        <f>SUM(J12:J13)</f>
        <v>131.95</v>
      </c>
    </row>
    <row r="15" spans="1:10" s="41" customFormat="1" ht="18" customHeight="1">
      <c r="A15" s="670" t="s">
        <v>65</v>
      </c>
      <c r="B15" s="672"/>
      <c r="C15" s="672"/>
      <c r="D15" s="672"/>
      <c r="E15" s="672"/>
      <c r="F15" s="672"/>
      <c r="G15" s="672"/>
      <c r="H15" s="672"/>
      <c r="I15" s="672"/>
      <c r="J15" s="370">
        <f>ROUND(J14*0.05,2)</f>
        <v>6.6</v>
      </c>
    </row>
    <row r="16" spans="1:10" s="41" customFormat="1" ht="18" customHeight="1">
      <c r="A16" s="670" t="s">
        <v>43</v>
      </c>
      <c r="B16" s="672"/>
      <c r="C16" s="672"/>
      <c r="D16" s="672"/>
      <c r="E16" s="672"/>
      <c r="F16" s="672"/>
      <c r="G16" s="672"/>
      <c r="H16" s="672"/>
      <c r="I16" s="672"/>
      <c r="J16" s="375">
        <v>11</v>
      </c>
    </row>
    <row r="17" spans="1:10" s="41" customFormat="1" ht="18" customHeight="1">
      <c r="A17" s="670" t="s">
        <v>44</v>
      </c>
      <c r="B17" s="672"/>
      <c r="C17" s="672"/>
      <c r="D17" s="672"/>
      <c r="E17" s="672"/>
      <c r="F17" s="672"/>
      <c r="G17" s="672"/>
      <c r="H17" s="672"/>
      <c r="I17" s="672"/>
      <c r="J17" s="370">
        <f>ROUND((J10+J14+J15)/J16,2)</f>
        <v>34.95</v>
      </c>
    </row>
    <row r="18" spans="1:10" s="41" customFormat="1" ht="18" customHeight="1">
      <c r="A18" s="371" t="s">
        <v>24</v>
      </c>
      <c r="B18" s="335"/>
      <c r="C18" s="335" t="s">
        <v>45</v>
      </c>
      <c r="D18" s="335" t="s">
        <v>46</v>
      </c>
      <c r="E18" s="642" t="s">
        <v>47</v>
      </c>
      <c r="F18" s="642"/>
      <c r="G18" s="642"/>
      <c r="H18" s="642" t="s">
        <v>48</v>
      </c>
      <c r="I18" s="642"/>
      <c r="J18" s="337" t="s">
        <v>49</v>
      </c>
    </row>
    <row r="19" spans="1:10" s="41" customFormat="1" ht="18" customHeight="1">
      <c r="A19" s="373"/>
      <c r="B19" s="319"/>
      <c r="C19" s="139"/>
      <c r="D19" s="319"/>
      <c r="E19" s="795"/>
      <c r="F19" s="795"/>
      <c r="G19" s="795"/>
      <c r="H19" s="796"/>
      <c r="I19" s="796"/>
      <c r="J19" s="374"/>
    </row>
    <row r="20" spans="1:10" s="41" customFormat="1" ht="18" customHeight="1">
      <c r="A20" s="670" t="s">
        <v>50</v>
      </c>
      <c r="B20" s="672"/>
      <c r="C20" s="672"/>
      <c r="D20" s="672"/>
      <c r="E20" s="672"/>
      <c r="F20" s="672"/>
      <c r="G20" s="672"/>
      <c r="H20" s="672"/>
      <c r="I20" s="672"/>
      <c r="J20" s="370">
        <f>SUM(J19:J19)</f>
        <v>0</v>
      </c>
    </row>
    <row r="21" spans="1:10" s="41" customFormat="1" ht="25.5">
      <c r="A21" s="371" t="s">
        <v>24</v>
      </c>
      <c r="B21" s="335"/>
      <c r="C21" s="144" t="s">
        <v>66</v>
      </c>
      <c r="D21" s="335" t="s">
        <v>46</v>
      </c>
      <c r="E21" s="642" t="s">
        <v>47</v>
      </c>
      <c r="F21" s="642"/>
      <c r="G21" s="642"/>
      <c r="H21" s="642" t="s">
        <v>48</v>
      </c>
      <c r="I21" s="642"/>
      <c r="J21" s="337" t="s">
        <v>49</v>
      </c>
    </row>
    <row r="22" spans="1:10" s="41" customFormat="1" ht="18" customHeight="1">
      <c r="A22" s="373">
        <v>10006</v>
      </c>
      <c r="B22" s="319" t="s">
        <v>424</v>
      </c>
      <c r="C22" s="139" t="s">
        <v>94</v>
      </c>
      <c r="D22" s="319" t="s">
        <v>67</v>
      </c>
      <c r="E22" s="795">
        <f>0.0012*E27</f>
        <v>0.0012</v>
      </c>
      <c r="F22" s="795"/>
      <c r="G22" s="795"/>
      <c r="H22" s="796">
        <v>6023.61</v>
      </c>
      <c r="I22" s="796"/>
      <c r="J22" s="374">
        <f>ROUND(H22*E22,2)</f>
        <v>7.23</v>
      </c>
    </row>
    <row r="23" spans="1:10" s="41" customFormat="1" ht="18" customHeight="1">
      <c r="A23" s="373">
        <v>10008</v>
      </c>
      <c r="B23" s="319" t="s">
        <v>424</v>
      </c>
      <c r="C23" s="139" t="s">
        <v>77</v>
      </c>
      <c r="D23" s="319" t="s">
        <v>67</v>
      </c>
      <c r="E23" s="795">
        <f>0.08*E26</f>
        <v>0.00704</v>
      </c>
      <c r="F23" s="795"/>
      <c r="G23" s="795"/>
      <c r="H23" s="796">
        <v>3545.92</v>
      </c>
      <c r="I23" s="796"/>
      <c r="J23" s="374">
        <f>ROUND(H23*E23,2)</f>
        <v>24.96</v>
      </c>
    </row>
    <row r="24" spans="1:10" s="41" customFormat="1" ht="18" customHeight="1">
      <c r="A24" s="670" t="s">
        <v>52</v>
      </c>
      <c r="B24" s="672"/>
      <c r="C24" s="672"/>
      <c r="D24" s="672"/>
      <c r="E24" s="672"/>
      <c r="F24" s="672"/>
      <c r="G24" s="672"/>
      <c r="H24" s="672"/>
      <c r="I24" s="672"/>
      <c r="J24" s="370">
        <f>SUM(J22:J23)</f>
        <v>32.19</v>
      </c>
    </row>
    <row r="25" spans="1:10" s="41" customFormat="1" ht="18" customHeight="1">
      <c r="A25" s="371" t="s">
        <v>24</v>
      </c>
      <c r="B25" s="335"/>
      <c r="C25" s="335" t="s">
        <v>51</v>
      </c>
      <c r="D25" s="335" t="s">
        <v>46</v>
      </c>
      <c r="E25" s="642" t="s">
        <v>47</v>
      </c>
      <c r="F25" s="642"/>
      <c r="G25" s="642"/>
      <c r="H25" s="642" t="s">
        <v>48</v>
      </c>
      <c r="I25" s="642"/>
      <c r="J25" s="337" t="s">
        <v>49</v>
      </c>
    </row>
    <row r="26" spans="1:10" s="41" customFormat="1" ht="25.5">
      <c r="A26" s="373">
        <v>40836</v>
      </c>
      <c r="B26" s="319" t="s">
        <v>424</v>
      </c>
      <c r="C26" s="365" t="s">
        <v>78</v>
      </c>
      <c r="D26" s="319" t="s">
        <v>67</v>
      </c>
      <c r="E26" s="797">
        <v>0.088</v>
      </c>
      <c r="F26" s="797"/>
      <c r="G26" s="797"/>
      <c r="H26" s="796">
        <v>54.31</v>
      </c>
      <c r="I26" s="796"/>
      <c r="J26" s="374">
        <f>ROUND(H26*E26,2)</f>
        <v>4.78</v>
      </c>
    </row>
    <row r="27" spans="1:10" s="41" customFormat="1" ht="38.25">
      <c r="A27" s="373">
        <v>43333</v>
      </c>
      <c r="B27" s="319" t="s">
        <v>424</v>
      </c>
      <c r="C27" s="365" t="s">
        <v>95</v>
      </c>
      <c r="D27" s="319" t="s">
        <v>22</v>
      </c>
      <c r="E27" s="797">
        <v>1</v>
      </c>
      <c r="F27" s="797"/>
      <c r="G27" s="797"/>
      <c r="H27" s="796">
        <v>1.45</v>
      </c>
      <c r="I27" s="796"/>
      <c r="J27" s="374">
        <f>ROUND(H27*E27,2)</f>
        <v>1.45</v>
      </c>
    </row>
    <row r="28" spans="1:10" s="41" customFormat="1" ht="25.5">
      <c r="A28" s="373">
        <v>42483</v>
      </c>
      <c r="B28" s="319" t="s">
        <v>424</v>
      </c>
      <c r="C28" s="365" t="s">
        <v>96</v>
      </c>
      <c r="D28" s="319" t="s">
        <v>23</v>
      </c>
      <c r="E28" s="797">
        <v>0.15</v>
      </c>
      <c r="F28" s="797"/>
      <c r="G28" s="797"/>
      <c r="H28" s="796">
        <v>120.01</v>
      </c>
      <c r="I28" s="796"/>
      <c r="J28" s="374">
        <f>ROUND(H28*E28,2)</f>
        <v>18</v>
      </c>
    </row>
    <row r="29" spans="1:10" s="41" customFormat="1" ht="18" customHeight="1">
      <c r="A29" s="670" t="s">
        <v>58</v>
      </c>
      <c r="B29" s="672"/>
      <c r="C29" s="672"/>
      <c r="D29" s="672"/>
      <c r="E29" s="672"/>
      <c r="F29" s="672"/>
      <c r="G29" s="672"/>
      <c r="H29" s="672"/>
      <c r="I29" s="672"/>
      <c r="J29" s="375">
        <f>SUM(J26:J28)</f>
        <v>24.23</v>
      </c>
    </row>
    <row r="30" spans="1:10" s="41" customFormat="1" ht="18" customHeight="1">
      <c r="A30" s="652" t="s">
        <v>24</v>
      </c>
      <c r="B30" s="653" t="s">
        <v>696</v>
      </c>
      <c r="C30" s="653" t="s">
        <v>53</v>
      </c>
      <c r="D30" s="642" t="s">
        <v>54</v>
      </c>
      <c r="E30" s="642"/>
      <c r="F30" s="642" t="s">
        <v>55</v>
      </c>
      <c r="G30" s="642"/>
      <c r="H30" s="642" t="s">
        <v>48</v>
      </c>
      <c r="I30" s="642"/>
      <c r="J30" s="684" t="s">
        <v>49</v>
      </c>
    </row>
    <row r="31" spans="1:10" s="41" customFormat="1" ht="18" customHeight="1">
      <c r="A31" s="652"/>
      <c r="B31" s="653"/>
      <c r="C31" s="653"/>
      <c r="D31" s="335" t="s">
        <v>56</v>
      </c>
      <c r="E31" s="335" t="s">
        <v>57</v>
      </c>
      <c r="F31" s="642"/>
      <c r="G31" s="642"/>
      <c r="H31" s="642"/>
      <c r="I31" s="642"/>
      <c r="J31" s="684"/>
    </row>
    <row r="32" spans="1:10" s="41" customFormat="1" ht="18" customHeight="1">
      <c r="A32" s="373">
        <v>60006</v>
      </c>
      <c r="B32" s="319" t="s">
        <v>424</v>
      </c>
      <c r="C32" s="139" t="s">
        <v>79</v>
      </c>
      <c r="D32" s="366">
        <v>45</v>
      </c>
      <c r="E32" s="418" t="s">
        <v>720</v>
      </c>
      <c r="F32" s="795">
        <f>E26</f>
        <v>0.088</v>
      </c>
      <c r="G32" s="795"/>
      <c r="H32" s="798">
        <v>70.45</v>
      </c>
      <c r="I32" s="798"/>
      <c r="J32" s="375">
        <f aca="true" t="shared" si="0" ref="J32:J37">ROUND(H32*F32,2)</f>
        <v>6.2</v>
      </c>
    </row>
    <row r="33" spans="1:10" s="41" customFormat="1" ht="18" customHeight="1">
      <c r="A33" s="373">
        <v>100849</v>
      </c>
      <c r="B33" s="319" t="s">
        <v>424</v>
      </c>
      <c r="C33" s="139" t="s">
        <v>80</v>
      </c>
      <c r="D33" s="366">
        <v>615.9</v>
      </c>
      <c r="E33" s="366" t="s">
        <v>720</v>
      </c>
      <c r="F33" s="795">
        <f>E23</f>
        <v>0.00704</v>
      </c>
      <c r="G33" s="795"/>
      <c r="H33" s="798">
        <v>387.98</v>
      </c>
      <c r="I33" s="798"/>
      <c r="J33" s="375">
        <f t="shared" si="0"/>
        <v>2.73</v>
      </c>
    </row>
    <row r="34" spans="1:10" s="41" customFormat="1" ht="18" customHeight="1">
      <c r="A34" s="373">
        <v>60002</v>
      </c>
      <c r="B34" s="319" t="s">
        <v>424</v>
      </c>
      <c r="C34" s="139" t="s">
        <v>81</v>
      </c>
      <c r="D34" s="366">
        <v>15</v>
      </c>
      <c r="E34" s="366">
        <v>5</v>
      </c>
      <c r="F34" s="795">
        <f>0.6525*E26</f>
        <v>0.05742</v>
      </c>
      <c r="G34" s="795"/>
      <c r="H34" s="798">
        <v>18.71</v>
      </c>
      <c r="I34" s="798"/>
      <c r="J34" s="375">
        <f t="shared" si="0"/>
        <v>1.07</v>
      </c>
    </row>
    <row r="35" spans="1:10" s="41" customFormat="1" ht="18" customHeight="1">
      <c r="A35" s="373">
        <v>60002</v>
      </c>
      <c r="B35" s="319" t="s">
        <v>424</v>
      </c>
      <c r="C35" s="139" t="s">
        <v>82</v>
      </c>
      <c r="D35" s="366">
        <v>15</v>
      </c>
      <c r="E35" s="366">
        <v>5</v>
      </c>
      <c r="F35" s="795">
        <f>0.3025*E26</f>
        <v>0.02662</v>
      </c>
      <c r="G35" s="795"/>
      <c r="H35" s="798">
        <v>18.71</v>
      </c>
      <c r="I35" s="798"/>
      <c r="J35" s="375">
        <f t="shared" si="0"/>
        <v>0.5</v>
      </c>
    </row>
    <row r="36" spans="1:10" s="41" customFormat="1" ht="18" customHeight="1">
      <c r="A36" s="373">
        <v>100849</v>
      </c>
      <c r="B36" s="319" t="s">
        <v>424</v>
      </c>
      <c r="C36" s="139" t="s">
        <v>97</v>
      </c>
      <c r="D36" s="366">
        <v>630</v>
      </c>
      <c r="E36" s="366">
        <v>2</v>
      </c>
      <c r="F36" s="795">
        <f>E22</f>
        <v>0.0012</v>
      </c>
      <c r="G36" s="795"/>
      <c r="H36" s="798">
        <v>387.98</v>
      </c>
      <c r="I36" s="798"/>
      <c r="J36" s="375">
        <f t="shared" si="0"/>
        <v>0.47</v>
      </c>
    </row>
    <row r="37" spans="1:10" s="41" customFormat="1" ht="18" customHeight="1">
      <c r="A37" s="373">
        <v>60002</v>
      </c>
      <c r="B37" s="319" t="s">
        <v>424</v>
      </c>
      <c r="C37" s="139" t="s">
        <v>98</v>
      </c>
      <c r="D37" s="366">
        <v>15</v>
      </c>
      <c r="E37" s="366">
        <v>5</v>
      </c>
      <c r="F37" s="795">
        <f>2.4*E28</f>
        <v>0.36</v>
      </c>
      <c r="G37" s="795"/>
      <c r="H37" s="798">
        <v>18.71</v>
      </c>
      <c r="I37" s="798"/>
      <c r="J37" s="375">
        <f t="shared" si="0"/>
        <v>6.74</v>
      </c>
    </row>
    <row r="38" spans="1:10" s="41" customFormat="1" ht="18" customHeight="1">
      <c r="A38" s="670" t="s">
        <v>68</v>
      </c>
      <c r="B38" s="672"/>
      <c r="C38" s="672"/>
      <c r="D38" s="672"/>
      <c r="E38" s="672"/>
      <c r="F38" s="672"/>
      <c r="G38" s="672"/>
      <c r="H38" s="672"/>
      <c r="I38" s="672"/>
      <c r="J38" s="375">
        <f>SUM(J32:J37)</f>
        <v>17.71</v>
      </c>
    </row>
    <row r="39" spans="1:10" s="41" customFormat="1" ht="18" customHeight="1">
      <c r="A39" s="806"/>
      <c r="B39" s="807"/>
      <c r="C39" s="807"/>
      <c r="D39" s="807"/>
      <c r="E39" s="807"/>
      <c r="F39" s="807"/>
      <c r="G39" s="807"/>
      <c r="H39" s="807"/>
      <c r="I39" s="807"/>
      <c r="J39" s="808"/>
    </row>
    <row r="40" spans="1:10" s="41" customFormat="1" ht="18" customHeight="1">
      <c r="A40" s="799" t="s">
        <v>69</v>
      </c>
      <c r="B40" s="800"/>
      <c r="C40" s="800"/>
      <c r="D40" s="800"/>
      <c r="E40" s="800"/>
      <c r="F40" s="800"/>
      <c r="G40" s="800"/>
      <c r="H40" s="800"/>
      <c r="I40" s="800"/>
      <c r="J40" s="376">
        <f>J17+J20+J29+J38</f>
        <v>76.89</v>
      </c>
    </row>
    <row r="41" spans="1:10" s="41" customFormat="1" ht="18" customHeight="1">
      <c r="A41" s="799" t="s">
        <v>70</v>
      </c>
      <c r="B41" s="800"/>
      <c r="C41" s="800"/>
      <c r="D41" s="800"/>
      <c r="E41" s="800"/>
      <c r="F41" s="800"/>
      <c r="G41" s="800"/>
      <c r="H41" s="800"/>
      <c r="I41" s="800"/>
      <c r="J41" s="376">
        <f>J24</f>
        <v>32.19</v>
      </c>
    </row>
    <row r="42" spans="1:10" s="41" customFormat="1" ht="18" customHeight="1">
      <c r="A42" s="799" t="s">
        <v>60</v>
      </c>
      <c r="B42" s="800"/>
      <c r="C42" s="800"/>
      <c r="D42" s="800"/>
      <c r="E42" s="800"/>
      <c r="F42" s="801">
        <v>0.2332</v>
      </c>
      <c r="G42" s="801"/>
      <c r="H42" s="801"/>
      <c r="I42" s="801"/>
      <c r="J42" s="376">
        <f>J40*F42</f>
        <v>17.93</v>
      </c>
    </row>
    <row r="43" spans="1:10" s="41" customFormat="1" ht="18" customHeight="1">
      <c r="A43" s="799" t="s">
        <v>71</v>
      </c>
      <c r="B43" s="800"/>
      <c r="C43" s="800"/>
      <c r="D43" s="800"/>
      <c r="E43" s="800"/>
      <c r="F43" s="801">
        <v>0.1528</v>
      </c>
      <c r="G43" s="801"/>
      <c r="H43" s="801"/>
      <c r="I43" s="801"/>
      <c r="J43" s="376">
        <f>J41*F43</f>
        <v>4.92</v>
      </c>
    </row>
    <row r="44" spans="1:10" s="41" customFormat="1" ht="18" customHeight="1" thickBot="1">
      <c r="A44" s="802" t="s">
        <v>61</v>
      </c>
      <c r="B44" s="803"/>
      <c r="C44" s="803"/>
      <c r="D44" s="803"/>
      <c r="E44" s="803"/>
      <c r="F44" s="803"/>
      <c r="G44" s="803"/>
      <c r="H44" s="803"/>
      <c r="I44" s="803"/>
      <c r="J44" s="377">
        <f>J40+J41+J42+J43</f>
        <v>131.93</v>
      </c>
    </row>
    <row r="45" s="41" customFormat="1" ht="18" customHeight="1" thickBot="1"/>
    <row r="46" spans="1:10" s="15" customFormat="1" ht="18" customHeight="1">
      <c r="A46" s="628" t="s">
        <v>725</v>
      </c>
      <c r="B46" s="629"/>
      <c r="C46" s="771" t="s">
        <v>728</v>
      </c>
      <c r="D46" s="772"/>
      <c r="E46" s="772"/>
      <c r="F46" s="772"/>
      <c r="G46" s="772"/>
      <c r="H46" s="772"/>
      <c r="I46" s="772"/>
      <c r="J46" s="773"/>
    </row>
    <row r="47" spans="1:10" ht="18" customHeight="1" thickBot="1">
      <c r="A47" s="777" t="s">
        <v>701</v>
      </c>
      <c r="B47" s="778"/>
      <c r="C47" s="778"/>
      <c r="D47" s="778"/>
      <c r="E47" s="778"/>
      <c r="F47" s="778"/>
      <c r="G47" s="779"/>
      <c r="H47" s="774" t="s">
        <v>729</v>
      </c>
      <c r="I47" s="775"/>
      <c r="J47" s="776"/>
    </row>
    <row r="48" spans="1:10" ht="18" customHeight="1">
      <c r="A48" s="783" t="s">
        <v>24</v>
      </c>
      <c r="B48" s="784"/>
      <c r="C48" s="757" t="s">
        <v>25</v>
      </c>
      <c r="D48" s="780" t="s">
        <v>26</v>
      </c>
      <c r="E48" s="759" t="s">
        <v>27</v>
      </c>
      <c r="F48" s="767"/>
      <c r="G48" s="760"/>
      <c r="H48" s="421" t="s">
        <v>28</v>
      </c>
      <c r="I48" s="422"/>
      <c r="J48" s="423"/>
    </row>
    <row r="49" spans="1:10" ht="25.5">
      <c r="A49" s="785"/>
      <c r="B49" s="786"/>
      <c r="C49" s="758"/>
      <c r="D49" s="781"/>
      <c r="E49" s="424" t="s">
        <v>29</v>
      </c>
      <c r="F49" s="424" t="s">
        <v>30</v>
      </c>
      <c r="G49" s="424" t="s">
        <v>31</v>
      </c>
      <c r="H49" s="424" t="s">
        <v>30</v>
      </c>
      <c r="I49" s="424" t="s">
        <v>31</v>
      </c>
      <c r="J49" s="425" t="s">
        <v>32</v>
      </c>
    </row>
    <row r="50" spans="1:10" ht="12.75">
      <c r="A50" s="426"/>
      <c r="B50" s="427"/>
      <c r="C50" s="428"/>
      <c r="D50" s="429"/>
      <c r="E50" s="430"/>
      <c r="F50" s="430"/>
      <c r="G50" s="430">
        <v>0</v>
      </c>
      <c r="H50" s="431"/>
      <c r="I50" s="431"/>
      <c r="J50" s="432">
        <f>E50*H50</f>
        <v>0</v>
      </c>
    </row>
    <row r="51" spans="1:10" ht="18" customHeight="1" thickBot="1">
      <c r="A51" s="737" t="s">
        <v>34</v>
      </c>
      <c r="B51" s="738"/>
      <c r="C51" s="738"/>
      <c r="D51" s="738"/>
      <c r="E51" s="738"/>
      <c r="F51" s="738"/>
      <c r="G51" s="738"/>
      <c r="H51" s="738"/>
      <c r="I51" s="739"/>
      <c r="J51" s="433">
        <f>SUM(J50)</f>
        <v>0</v>
      </c>
    </row>
    <row r="52" spans="1:10" ht="25.5">
      <c r="A52" s="434" t="s">
        <v>24</v>
      </c>
      <c r="B52" s="435"/>
      <c r="C52" s="436" t="s">
        <v>35</v>
      </c>
      <c r="D52" s="436" t="s">
        <v>36</v>
      </c>
      <c r="E52" s="436"/>
      <c r="F52" s="436" t="s">
        <v>37</v>
      </c>
      <c r="G52" s="436"/>
      <c r="H52" s="759" t="s">
        <v>177</v>
      </c>
      <c r="I52" s="760"/>
      <c r="J52" s="437" t="s">
        <v>32</v>
      </c>
    </row>
    <row r="53" spans="1:10" ht="12.75">
      <c r="A53" s="427"/>
      <c r="B53" s="427"/>
      <c r="C53" s="438"/>
      <c r="D53" s="427"/>
      <c r="E53" s="765"/>
      <c r="F53" s="782"/>
      <c r="G53" s="766"/>
      <c r="H53" s="462"/>
      <c r="I53" s="463"/>
      <c r="J53" s="439">
        <f>ROUND(H53*E53,2)</f>
        <v>0</v>
      </c>
    </row>
    <row r="54" spans="1:10" ht="18" customHeight="1">
      <c r="A54" s="787" t="s">
        <v>41</v>
      </c>
      <c r="B54" s="788"/>
      <c r="C54" s="788"/>
      <c r="D54" s="788"/>
      <c r="E54" s="788"/>
      <c r="F54" s="788"/>
      <c r="G54" s="788"/>
      <c r="H54" s="788"/>
      <c r="I54" s="789"/>
      <c r="J54" s="440">
        <f>SUM(J53:J53)</f>
        <v>0</v>
      </c>
    </row>
    <row r="55" spans="1:10" ht="18" customHeight="1">
      <c r="A55" s="787" t="s">
        <v>42</v>
      </c>
      <c r="B55" s="788"/>
      <c r="C55" s="788"/>
      <c r="D55" s="788"/>
      <c r="E55" s="788"/>
      <c r="F55" s="788"/>
      <c r="G55" s="788"/>
      <c r="H55" s="788"/>
      <c r="I55" s="789"/>
      <c r="J55" s="440">
        <f>ROUND(J54*0,2)</f>
        <v>0</v>
      </c>
    </row>
    <row r="56" spans="1:10" ht="18" customHeight="1">
      <c r="A56" s="787" t="s">
        <v>43</v>
      </c>
      <c r="B56" s="788"/>
      <c r="C56" s="788"/>
      <c r="D56" s="788"/>
      <c r="E56" s="788"/>
      <c r="F56" s="788"/>
      <c r="G56" s="788"/>
      <c r="H56" s="788"/>
      <c r="I56" s="789"/>
      <c r="J56" s="440">
        <v>1</v>
      </c>
    </row>
    <row r="57" spans="1:10" ht="18" customHeight="1" thickBot="1">
      <c r="A57" s="737" t="s">
        <v>44</v>
      </c>
      <c r="B57" s="738"/>
      <c r="C57" s="738"/>
      <c r="D57" s="738"/>
      <c r="E57" s="738"/>
      <c r="F57" s="738"/>
      <c r="G57" s="738"/>
      <c r="H57" s="738"/>
      <c r="I57" s="739"/>
      <c r="J57" s="441">
        <f>ROUND((J51+J54+J55)/J56,2)</f>
        <v>0</v>
      </c>
    </row>
    <row r="58" spans="1:10" ht="18" customHeight="1">
      <c r="A58" s="434" t="s">
        <v>24</v>
      </c>
      <c r="B58" s="435"/>
      <c r="C58" s="436" t="s">
        <v>45</v>
      </c>
      <c r="D58" s="436" t="s">
        <v>46</v>
      </c>
      <c r="E58" s="759" t="s">
        <v>47</v>
      </c>
      <c r="F58" s="767"/>
      <c r="G58" s="760"/>
      <c r="H58" s="759" t="s">
        <v>48</v>
      </c>
      <c r="I58" s="760"/>
      <c r="J58" s="442" t="s">
        <v>49</v>
      </c>
    </row>
    <row r="59" spans="1:10" ht="12.75">
      <c r="A59" s="427"/>
      <c r="B59" s="427"/>
      <c r="C59" s="438"/>
      <c r="D59" s="427"/>
      <c r="E59" s="768"/>
      <c r="F59" s="769"/>
      <c r="G59" s="770"/>
      <c r="H59" s="765"/>
      <c r="I59" s="766"/>
      <c r="J59" s="439">
        <f>ROUND(H59*E59,2)</f>
        <v>0</v>
      </c>
    </row>
    <row r="60" spans="1:10" ht="18" customHeight="1" thickBot="1">
      <c r="A60" s="737" t="s">
        <v>50</v>
      </c>
      <c r="B60" s="738"/>
      <c r="C60" s="738"/>
      <c r="D60" s="738"/>
      <c r="E60" s="738"/>
      <c r="F60" s="738"/>
      <c r="G60" s="738"/>
      <c r="H60" s="738"/>
      <c r="I60" s="739"/>
      <c r="J60" s="441">
        <f>SUM(J59:J59)</f>
        <v>0</v>
      </c>
    </row>
    <row r="61" spans="1:10" ht="18" customHeight="1">
      <c r="A61" s="434" t="s">
        <v>24</v>
      </c>
      <c r="B61" s="435"/>
      <c r="C61" s="436" t="s">
        <v>51</v>
      </c>
      <c r="D61" s="436" t="s">
        <v>46</v>
      </c>
      <c r="E61" s="759" t="s">
        <v>47</v>
      </c>
      <c r="F61" s="767"/>
      <c r="G61" s="760"/>
      <c r="H61" s="759" t="s">
        <v>48</v>
      </c>
      <c r="I61" s="760"/>
      <c r="J61" s="442" t="s">
        <v>49</v>
      </c>
    </row>
    <row r="62" spans="1:10" ht="18" customHeight="1">
      <c r="A62" s="443"/>
      <c r="B62" s="444"/>
      <c r="C62" s="445"/>
      <c r="D62" s="446"/>
      <c r="E62" s="750"/>
      <c r="F62" s="751"/>
      <c r="G62" s="752"/>
      <c r="H62" s="753"/>
      <c r="I62" s="754"/>
      <c r="J62" s="447"/>
    </row>
    <row r="63" spans="1:10" ht="18" customHeight="1" thickBot="1">
      <c r="A63" s="737" t="s">
        <v>52</v>
      </c>
      <c r="B63" s="738"/>
      <c r="C63" s="738"/>
      <c r="D63" s="738"/>
      <c r="E63" s="738"/>
      <c r="F63" s="738"/>
      <c r="G63" s="738"/>
      <c r="H63" s="738"/>
      <c r="I63" s="739"/>
      <c r="J63" s="433">
        <f>SUM(J62:J62)</f>
        <v>0</v>
      </c>
    </row>
    <row r="64" spans="1:10" ht="18" customHeight="1">
      <c r="A64" s="755" t="s">
        <v>24</v>
      </c>
      <c r="B64" s="448"/>
      <c r="C64" s="757" t="s">
        <v>53</v>
      </c>
      <c r="D64" s="759" t="s">
        <v>54</v>
      </c>
      <c r="E64" s="760"/>
      <c r="F64" s="761" t="s">
        <v>55</v>
      </c>
      <c r="G64" s="762"/>
      <c r="H64" s="761" t="s">
        <v>48</v>
      </c>
      <c r="I64" s="762"/>
      <c r="J64" s="731" t="s">
        <v>49</v>
      </c>
    </row>
    <row r="65" spans="1:10" ht="18" customHeight="1">
      <c r="A65" s="756"/>
      <c r="B65" s="449"/>
      <c r="C65" s="758"/>
      <c r="D65" s="450" t="s">
        <v>56</v>
      </c>
      <c r="E65" s="450" t="s">
        <v>57</v>
      </c>
      <c r="F65" s="763"/>
      <c r="G65" s="764"/>
      <c r="H65" s="763"/>
      <c r="I65" s="764"/>
      <c r="J65" s="732"/>
    </row>
    <row r="66" spans="1:10" ht="18" customHeight="1">
      <c r="A66" s="451"/>
      <c r="B66" s="452"/>
      <c r="C66" s="453"/>
      <c r="D66" s="454"/>
      <c r="E66" s="454"/>
      <c r="F66" s="733"/>
      <c r="G66" s="734"/>
      <c r="H66" s="735"/>
      <c r="I66" s="736"/>
      <c r="J66" s="455"/>
    </row>
    <row r="67" spans="1:10" ht="18" customHeight="1" thickBot="1">
      <c r="A67" s="737" t="s">
        <v>58</v>
      </c>
      <c r="B67" s="738"/>
      <c r="C67" s="738"/>
      <c r="D67" s="738"/>
      <c r="E67" s="738"/>
      <c r="F67" s="738"/>
      <c r="G67" s="738"/>
      <c r="H67" s="738"/>
      <c r="I67" s="739"/>
      <c r="J67" s="433">
        <f>SUM(J66:J66)</f>
        <v>0</v>
      </c>
    </row>
    <row r="68" spans="1:10" ht="18" customHeight="1" thickBot="1">
      <c r="A68" s="740"/>
      <c r="B68" s="741"/>
      <c r="C68" s="741"/>
      <c r="D68" s="741"/>
      <c r="E68" s="741"/>
      <c r="F68" s="741"/>
      <c r="G68" s="741"/>
      <c r="H68" s="741"/>
      <c r="I68" s="742"/>
      <c r="J68" s="456"/>
    </row>
    <row r="69" spans="1:10" ht="18" customHeight="1">
      <c r="A69" s="743" t="s">
        <v>59</v>
      </c>
      <c r="B69" s="744"/>
      <c r="C69" s="745"/>
      <c r="D69" s="745"/>
      <c r="E69" s="745"/>
      <c r="F69" s="745"/>
      <c r="G69" s="745"/>
      <c r="H69" s="745"/>
      <c r="I69" s="745"/>
      <c r="J69" s="457">
        <f>J57+J60+J63+J67</f>
        <v>0</v>
      </c>
    </row>
    <row r="70" spans="1:10" ht="18" customHeight="1">
      <c r="A70" s="748" t="s">
        <v>60</v>
      </c>
      <c r="B70" s="749"/>
      <c r="C70" s="749"/>
      <c r="D70" s="749"/>
      <c r="E70" s="749"/>
      <c r="F70" s="746">
        <v>0.2332</v>
      </c>
      <c r="G70" s="746"/>
      <c r="H70" s="746"/>
      <c r="I70" s="747"/>
      <c r="J70" s="458">
        <f>J69*F70</f>
        <v>0</v>
      </c>
    </row>
    <row r="71" spans="1:10" ht="18" customHeight="1" thickBot="1">
      <c r="A71" s="728" t="s">
        <v>61</v>
      </c>
      <c r="B71" s="729"/>
      <c r="C71" s="730"/>
      <c r="D71" s="730"/>
      <c r="E71" s="730"/>
      <c r="F71" s="730"/>
      <c r="G71" s="730"/>
      <c r="H71" s="730"/>
      <c r="I71" s="730"/>
      <c r="J71" s="459">
        <f>J69+J70</f>
        <v>0</v>
      </c>
    </row>
    <row r="72" spans="1:10" ht="18" customHeight="1" thickBot="1">
      <c r="A72" s="460"/>
      <c r="B72" s="460"/>
      <c r="C72" s="460"/>
      <c r="D72" s="460"/>
      <c r="E72" s="460"/>
      <c r="F72" s="460"/>
      <c r="G72" s="460"/>
      <c r="H72" s="460"/>
      <c r="I72" s="460"/>
      <c r="J72" s="460"/>
    </row>
    <row r="73" spans="1:10" s="15" customFormat="1" ht="24.75" customHeight="1">
      <c r="A73" s="626" t="s">
        <v>724</v>
      </c>
      <c r="B73" s="627"/>
      <c r="C73" s="654" t="s">
        <v>200</v>
      </c>
      <c r="D73" s="655"/>
      <c r="E73" s="655"/>
      <c r="F73" s="655"/>
      <c r="G73" s="655"/>
      <c r="H73" s="655"/>
      <c r="I73" s="655"/>
      <c r="J73" s="656"/>
    </row>
    <row r="74" spans="1:10" ht="18" customHeight="1" thickBot="1">
      <c r="A74" s="657" t="s">
        <v>733</v>
      </c>
      <c r="B74" s="658"/>
      <c r="C74" s="658"/>
      <c r="D74" s="658"/>
      <c r="E74" s="658"/>
      <c r="F74" s="658"/>
      <c r="G74" s="659"/>
      <c r="H74" s="661" t="s">
        <v>199</v>
      </c>
      <c r="I74" s="662"/>
      <c r="J74" s="663"/>
    </row>
    <row r="75" spans="1:10" ht="18" customHeight="1">
      <c r="A75" s="651" t="s">
        <v>24</v>
      </c>
      <c r="B75" s="653" t="s">
        <v>696</v>
      </c>
      <c r="C75" s="664" t="s">
        <v>25</v>
      </c>
      <c r="D75" s="726" t="s">
        <v>26</v>
      </c>
      <c r="E75" s="643" t="s">
        <v>27</v>
      </c>
      <c r="F75" s="643"/>
      <c r="G75" s="643"/>
      <c r="H75" s="643" t="s">
        <v>28</v>
      </c>
      <c r="I75" s="643"/>
      <c r="J75" s="644"/>
    </row>
    <row r="76" spans="1:10" ht="25.5">
      <c r="A76" s="652"/>
      <c r="B76" s="653"/>
      <c r="C76" s="653"/>
      <c r="D76" s="727"/>
      <c r="E76" s="386" t="s">
        <v>29</v>
      </c>
      <c r="F76" s="386" t="s">
        <v>30</v>
      </c>
      <c r="G76" s="386" t="s">
        <v>31</v>
      </c>
      <c r="H76" s="386" t="s">
        <v>30</v>
      </c>
      <c r="I76" s="386" t="s">
        <v>31</v>
      </c>
      <c r="J76" s="28" t="s">
        <v>32</v>
      </c>
    </row>
    <row r="77" spans="1:10" ht="18" customHeight="1">
      <c r="A77" s="234"/>
      <c r="B77" s="269"/>
      <c r="C77" s="102"/>
      <c r="D77" s="114"/>
      <c r="E77" s="115"/>
      <c r="F77" s="115"/>
      <c r="G77" s="115"/>
      <c r="H77" s="116"/>
      <c r="I77" s="116"/>
      <c r="J77" s="103"/>
    </row>
    <row r="78" spans="1:10" ht="18" customHeight="1" thickBot="1">
      <c r="A78" s="645" t="s">
        <v>34</v>
      </c>
      <c r="B78" s="646"/>
      <c r="C78" s="647"/>
      <c r="D78" s="647"/>
      <c r="E78" s="647"/>
      <c r="F78" s="647"/>
      <c r="G78" s="647"/>
      <c r="H78" s="647"/>
      <c r="I78" s="647"/>
      <c r="J78" s="36">
        <f>SUM(J77)</f>
        <v>0</v>
      </c>
    </row>
    <row r="79" spans="1:10" ht="31.5" customHeight="1">
      <c r="A79" s="27" t="s">
        <v>24</v>
      </c>
      <c r="B79" s="389"/>
      <c r="C79" s="387" t="s">
        <v>35</v>
      </c>
      <c r="D79" s="387" t="s">
        <v>36</v>
      </c>
      <c r="E79" s="387"/>
      <c r="F79" s="387" t="s">
        <v>37</v>
      </c>
      <c r="G79" s="387"/>
      <c r="H79" s="650" t="s">
        <v>38</v>
      </c>
      <c r="I79" s="650"/>
      <c r="J79" s="29" t="s">
        <v>32</v>
      </c>
    </row>
    <row r="80" spans="1:10" ht="18" customHeight="1">
      <c r="A80" s="402">
        <v>20087</v>
      </c>
      <c r="B80" s="402" t="s">
        <v>424</v>
      </c>
      <c r="C80" s="401" t="s">
        <v>198</v>
      </c>
      <c r="D80" s="402" t="s">
        <v>39</v>
      </c>
      <c r="E80" s="725">
        <v>0.1</v>
      </c>
      <c r="F80" s="725"/>
      <c r="G80" s="725"/>
      <c r="H80" s="725">
        <v>29.07</v>
      </c>
      <c r="I80" s="725"/>
      <c r="J80" s="320">
        <f>ROUND(H80*E80,2)</f>
        <v>2.91</v>
      </c>
    </row>
    <row r="81" spans="1:10" ht="18" customHeight="1">
      <c r="A81" s="402">
        <v>20002</v>
      </c>
      <c r="B81" s="402" t="s">
        <v>424</v>
      </c>
      <c r="C81" s="401" t="s">
        <v>40</v>
      </c>
      <c r="D81" s="402" t="s">
        <v>39</v>
      </c>
      <c r="E81" s="725">
        <v>2</v>
      </c>
      <c r="F81" s="725"/>
      <c r="G81" s="725"/>
      <c r="H81" s="725">
        <v>12.86</v>
      </c>
      <c r="I81" s="725"/>
      <c r="J81" s="320">
        <f>ROUND(H81*E81,2)</f>
        <v>25.72</v>
      </c>
    </row>
    <row r="82" spans="1:10" ht="18" customHeight="1">
      <c r="A82" s="670" t="s">
        <v>41</v>
      </c>
      <c r="B82" s="671"/>
      <c r="C82" s="672"/>
      <c r="D82" s="672"/>
      <c r="E82" s="672"/>
      <c r="F82" s="672"/>
      <c r="G82" s="672"/>
      <c r="H82" s="672"/>
      <c r="I82" s="672"/>
      <c r="J82" s="33">
        <f>SUM(J80:J81)</f>
        <v>28.63</v>
      </c>
    </row>
    <row r="83" spans="1:10" ht="18" customHeight="1">
      <c r="A83" s="670" t="s">
        <v>65</v>
      </c>
      <c r="B83" s="671"/>
      <c r="C83" s="672"/>
      <c r="D83" s="672"/>
      <c r="E83" s="672"/>
      <c r="F83" s="672"/>
      <c r="G83" s="672"/>
      <c r="H83" s="672"/>
      <c r="I83" s="672"/>
      <c r="J83" s="34">
        <f>ROUND(J82*0.05,2)</f>
        <v>1.43</v>
      </c>
    </row>
    <row r="84" spans="1:10" ht="18" customHeight="1">
      <c r="A84" s="670" t="s">
        <v>43</v>
      </c>
      <c r="B84" s="671"/>
      <c r="C84" s="672"/>
      <c r="D84" s="672"/>
      <c r="E84" s="672"/>
      <c r="F84" s="672"/>
      <c r="G84" s="672"/>
      <c r="H84" s="672"/>
      <c r="I84" s="672"/>
      <c r="J84" s="35">
        <v>1</v>
      </c>
    </row>
    <row r="85" spans="1:10" ht="18" customHeight="1" thickBot="1">
      <c r="A85" s="645" t="s">
        <v>44</v>
      </c>
      <c r="B85" s="646"/>
      <c r="C85" s="647"/>
      <c r="D85" s="647"/>
      <c r="E85" s="647"/>
      <c r="F85" s="647"/>
      <c r="G85" s="647"/>
      <c r="H85" s="647"/>
      <c r="I85" s="647"/>
      <c r="J85" s="36">
        <f>ROUND((J78+J82+J83)/J84,2)</f>
        <v>30.06</v>
      </c>
    </row>
    <row r="86" spans="1:10" ht="18" customHeight="1">
      <c r="A86" s="27" t="s">
        <v>24</v>
      </c>
      <c r="B86" s="389"/>
      <c r="C86" s="387" t="s">
        <v>45</v>
      </c>
      <c r="D86" s="387" t="s">
        <v>46</v>
      </c>
      <c r="E86" s="650" t="s">
        <v>47</v>
      </c>
      <c r="F86" s="650"/>
      <c r="G86" s="650"/>
      <c r="H86" s="650" t="s">
        <v>48</v>
      </c>
      <c r="I86" s="650"/>
      <c r="J86" s="388" t="s">
        <v>49</v>
      </c>
    </row>
    <row r="87" spans="1:10" ht="18" customHeight="1">
      <c r="A87" s="30"/>
      <c r="B87" s="237"/>
      <c r="C87" s="31"/>
      <c r="D87" s="390"/>
      <c r="E87" s="673"/>
      <c r="F87" s="673"/>
      <c r="G87" s="673"/>
      <c r="H87" s="674"/>
      <c r="I87" s="674"/>
      <c r="J87" s="32"/>
    </row>
    <row r="88" spans="1:10" ht="18" customHeight="1" thickBot="1">
      <c r="A88" s="645" t="s">
        <v>50</v>
      </c>
      <c r="B88" s="646"/>
      <c r="C88" s="647"/>
      <c r="D88" s="647"/>
      <c r="E88" s="647"/>
      <c r="F88" s="647"/>
      <c r="G88" s="647"/>
      <c r="H88" s="647"/>
      <c r="I88" s="647"/>
      <c r="J88" s="36">
        <f>SUM(J87:J87)</f>
        <v>0</v>
      </c>
    </row>
    <row r="89" spans="1:10" ht="18" customHeight="1">
      <c r="A89" s="27" t="s">
        <v>24</v>
      </c>
      <c r="B89" s="389"/>
      <c r="C89" s="387" t="s">
        <v>51</v>
      </c>
      <c r="D89" s="387" t="s">
        <v>46</v>
      </c>
      <c r="E89" s="650" t="s">
        <v>47</v>
      </c>
      <c r="F89" s="650"/>
      <c r="G89" s="650"/>
      <c r="H89" s="650" t="s">
        <v>48</v>
      </c>
      <c r="I89" s="650"/>
      <c r="J89" s="388" t="s">
        <v>49</v>
      </c>
    </row>
    <row r="90" spans="1:10" ht="18" customHeight="1">
      <c r="A90" s="37"/>
      <c r="B90" s="393"/>
      <c r="C90" s="38"/>
      <c r="D90" s="392"/>
      <c r="E90" s="675"/>
      <c r="F90" s="675"/>
      <c r="G90" s="675"/>
      <c r="H90" s="665"/>
      <c r="I90" s="667"/>
      <c r="J90" s="32"/>
    </row>
    <row r="91" spans="1:10" ht="18" customHeight="1" thickBot="1">
      <c r="A91" s="678" t="s">
        <v>52</v>
      </c>
      <c r="B91" s="679"/>
      <c r="C91" s="680"/>
      <c r="D91" s="680"/>
      <c r="E91" s="680"/>
      <c r="F91" s="680"/>
      <c r="G91" s="680"/>
      <c r="H91" s="680"/>
      <c r="I91" s="680"/>
      <c r="J91" s="36">
        <f>SUM(J90:J90)</f>
        <v>0</v>
      </c>
    </row>
    <row r="92" spans="1:10" ht="18" customHeight="1">
      <c r="A92" s="681" t="s">
        <v>24</v>
      </c>
      <c r="B92" s="238"/>
      <c r="C92" s="682" t="s">
        <v>53</v>
      </c>
      <c r="D92" s="650" t="s">
        <v>54</v>
      </c>
      <c r="E92" s="650"/>
      <c r="F92" s="650" t="s">
        <v>55</v>
      </c>
      <c r="G92" s="650"/>
      <c r="H92" s="650" t="s">
        <v>48</v>
      </c>
      <c r="I92" s="650"/>
      <c r="J92" s="683" t="s">
        <v>49</v>
      </c>
    </row>
    <row r="93" spans="1:10" ht="18" customHeight="1">
      <c r="A93" s="652"/>
      <c r="B93" s="235"/>
      <c r="C93" s="653"/>
      <c r="D93" s="382" t="s">
        <v>56</v>
      </c>
      <c r="E93" s="382" t="s">
        <v>57</v>
      </c>
      <c r="F93" s="642"/>
      <c r="G93" s="642"/>
      <c r="H93" s="642"/>
      <c r="I93" s="642"/>
      <c r="J93" s="684"/>
    </row>
    <row r="94" spans="1:10" ht="18" customHeight="1">
      <c r="A94" s="30"/>
      <c r="B94" s="237"/>
      <c r="C94" s="31"/>
      <c r="D94" s="391"/>
      <c r="E94" s="391"/>
      <c r="F94" s="722"/>
      <c r="G94" s="723"/>
      <c r="H94" s="724"/>
      <c r="I94" s="724"/>
      <c r="J94" s="44"/>
    </row>
    <row r="95" spans="1:10" ht="18" customHeight="1" thickBot="1">
      <c r="A95" s="645" t="s">
        <v>58</v>
      </c>
      <c r="B95" s="646"/>
      <c r="C95" s="647"/>
      <c r="D95" s="647"/>
      <c r="E95" s="647"/>
      <c r="F95" s="647"/>
      <c r="G95" s="647"/>
      <c r="H95" s="647"/>
      <c r="I95" s="647"/>
      <c r="J95" s="36">
        <f>SUM(J94:J94)</f>
        <v>0</v>
      </c>
    </row>
    <row r="96" spans="1:10" ht="18" customHeight="1" thickBot="1">
      <c r="A96" s="408"/>
      <c r="B96" s="409"/>
      <c r="C96" s="385"/>
      <c r="D96" s="385"/>
      <c r="E96" s="385"/>
      <c r="F96" s="385"/>
      <c r="G96" s="410"/>
      <c r="H96" s="410"/>
      <c r="I96" s="410"/>
      <c r="J96" s="411"/>
    </row>
    <row r="97" spans="1:10" ht="18" customHeight="1">
      <c r="A97" s="693" t="s">
        <v>59</v>
      </c>
      <c r="B97" s="694"/>
      <c r="C97" s="695"/>
      <c r="D97" s="695"/>
      <c r="E97" s="695"/>
      <c r="F97" s="695"/>
      <c r="G97" s="695"/>
      <c r="H97" s="695"/>
      <c r="I97" s="695"/>
      <c r="J97" s="39">
        <f>J85+J88+J91+J95</f>
        <v>30.06</v>
      </c>
    </row>
    <row r="98" spans="1:10" ht="18" customHeight="1">
      <c r="A98" s="696" t="s">
        <v>60</v>
      </c>
      <c r="B98" s="697"/>
      <c r="C98" s="697"/>
      <c r="D98" s="697"/>
      <c r="E98" s="697"/>
      <c r="F98" s="698">
        <v>0.2332</v>
      </c>
      <c r="G98" s="698"/>
      <c r="H98" s="698"/>
      <c r="I98" s="699"/>
      <c r="J98" s="40">
        <f>J97*F98</f>
        <v>7.01</v>
      </c>
    </row>
    <row r="99" spans="1:10" ht="18" customHeight="1" thickBot="1">
      <c r="A99" s="700" t="s">
        <v>61</v>
      </c>
      <c r="B99" s="701"/>
      <c r="C99" s="702"/>
      <c r="D99" s="702"/>
      <c r="E99" s="702"/>
      <c r="F99" s="702"/>
      <c r="G99" s="702"/>
      <c r="H99" s="702"/>
      <c r="I99" s="702"/>
      <c r="J99" s="121">
        <f>J97+J98</f>
        <v>37.07</v>
      </c>
    </row>
    <row r="100" spans="1:10" ht="18" customHeight="1" thickBot="1">
      <c r="A100" s="460"/>
      <c r="B100" s="460"/>
      <c r="C100" s="460"/>
      <c r="D100" s="460"/>
      <c r="E100" s="460"/>
      <c r="F100" s="460"/>
      <c r="G100" s="460"/>
      <c r="H100" s="460"/>
      <c r="I100" s="460"/>
      <c r="J100" s="460"/>
    </row>
    <row r="101" spans="1:10" s="15" customFormat="1" ht="24.75" customHeight="1">
      <c r="A101" s="626" t="s">
        <v>727</v>
      </c>
      <c r="B101" s="627"/>
      <c r="C101" s="654" t="s">
        <v>203</v>
      </c>
      <c r="D101" s="655"/>
      <c r="E101" s="655"/>
      <c r="F101" s="655"/>
      <c r="G101" s="655"/>
      <c r="H101" s="655"/>
      <c r="I101" s="655"/>
      <c r="J101" s="656"/>
    </row>
    <row r="102" spans="1:10" ht="18" customHeight="1" thickBot="1">
      <c r="A102" s="657" t="s">
        <v>204</v>
      </c>
      <c r="B102" s="658"/>
      <c r="C102" s="659"/>
      <c r="D102" s="660" t="s">
        <v>201</v>
      </c>
      <c r="E102" s="660"/>
      <c r="F102" s="660"/>
      <c r="G102" s="660"/>
      <c r="H102" s="661" t="s">
        <v>730</v>
      </c>
      <c r="I102" s="662"/>
      <c r="J102" s="663"/>
    </row>
    <row r="103" spans="1:10" ht="18" customHeight="1">
      <c r="A103" s="651" t="s">
        <v>24</v>
      </c>
      <c r="B103" s="653" t="s">
        <v>696</v>
      </c>
      <c r="C103" s="664" t="s">
        <v>25</v>
      </c>
      <c r="D103" s="412" t="s">
        <v>26</v>
      </c>
      <c r="E103" s="414" t="s">
        <v>27</v>
      </c>
      <c r="F103" s="414"/>
      <c r="G103" s="414"/>
      <c r="H103" s="643" t="s">
        <v>28</v>
      </c>
      <c r="I103" s="643"/>
      <c r="J103" s="644"/>
    </row>
    <row r="104" spans="1:10" ht="25.5">
      <c r="A104" s="652"/>
      <c r="B104" s="653"/>
      <c r="C104" s="653"/>
      <c r="D104" s="413"/>
      <c r="E104" s="105" t="s">
        <v>29</v>
      </c>
      <c r="F104" s="105" t="s">
        <v>30</v>
      </c>
      <c r="G104" s="105" t="s">
        <v>31</v>
      </c>
      <c r="H104" s="105" t="s">
        <v>30</v>
      </c>
      <c r="I104" s="105" t="s">
        <v>31</v>
      </c>
      <c r="J104" s="28" t="s">
        <v>32</v>
      </c>
    </row>
    <row r="105" spans="1:10" ht="18" customHeight="1">
      <c r="A105" s="113"/>
      <c r="B105" s="236"/>
      <c r="C105" s="112"/>
      <c r="D105" s="114"/>
      <c r="E105" s="115"/>
      <c r="F105" s="115"/>
      <c r="G105" s="115"/>
      <c r="H105" s="116"/>
      <c r="I105" s="116"/>
      <c r="J105" s="117"/>
    </row>
    <row r="106" spans="1:10" ht="18" customHeight="1" thickBot="1">
      <c r="A106" s="645" t="s">
        <v>34</v>
      </c>
      <c r="B106" s="646"/>
      <c r="C106" s="647"/>
      <c r="D106" s="647"/>
      <c r="E106" s="647"/>
      <c r="F106" s="647"/>
      <c r="G106" s="647"/>
      <c r="H106" s="647"/>
      <c r="I106" s="647"/>
      <c r="J106" s="36">
        <f>SUM(J105)</f>
        <v>0</v>
      </c>
    </row>
    <row r="107" spans="1:10" ht="25.5">
      <c r="A107" s="27" t="s">
        <v>24</v>
      </c>
      <c r="B107" s="221"/>
      <c r="C107" s="106" t="s">
        <v>35</v>
      </c>
      <c r="D107" s="106" t="s">
        <v>36</v>
      </c>
      <c r="E107" s="648" t="s">
        <v>37</v>
      </c>
      <c r="F107" s="649"/>
      <c r="G107" s="627"/>
      <c r="H107" s="650" t="s">
        <v>38</v>
      </c>
      <c r="I107" s="650"/>
      <c r="J107" s="29" t="s">
        <v>32</v>
      </c>
    </row>
    <row r="108" spans="1:10" ht="18" customHeight="1">
      <c r="A108" s="43"/>
      <c r="B108" s="222"/>
      <c r="C108" s="110"/>
      <c r="D108" s="111"/>
      <c r="E108" s="665"/>
      <c r="F108" s="666"/>
      <c r="G108" s="667"/>
      <c r="H108" s="668"/>
      <c r="I108" s="669"/>
      <c r="J108" s="58"/>
    </row>
    <row r="109" spans="1:10" ht="18" customHeight="1">
      <c r="A109" s="670" t="s">
        <v>41</v>
      </c>
      <c r="B109" s="671"/>
      <c r="C109" s="672"/>
      <c r="D109" s="672"/>
      <c r="E109" s="672"/>
      <c r="F109" s="672"/>
      <c r="G109" s="672"/>
      <c r="H109" s="672"/>
      <c r="I109" s="672"/>
      <c r="J109" s="33">
        <f>SUM(J108:J108)</f>
        <v>0</v>
      </c>
    </row>
    <row r="110" spans="1:10" ht="18" customHeight="1">
      <c r="A110" s="670" t="s">
        <v>65</v>
      </c>
      <c r="B110" s="671"/>
      <c r="C110" s="672"/>
      <c r="D110" s="672"/>
      <c r="E110" s="672"/>
      <c r="F110" s="672"/>
      <c r="G110" s="672"/>
      <c r="H110" s="672"/>
      <c r="I110" s="672"/>
      <c r="J110" s="34">
        <f>ROUND(J109*0.05,2)</f>
        <v>0</v>
      </c>
    </row>
    <row r="111" spans="1:10" ht="18" customHeight="1">
      <c r="A111" s="670" t="s">
        <v>43</v>
      </c>
      <c r="B111" s="671"/>
      <c r="C111" s="672"/>
      <c r="D111" s="672"/>
      <c r="E111" s="672"/>
      <c r="F111" s="672"/>
      <c r="G111" s="672"/>
      <c r="H111" s="672"/>
      <c r="I111" s="672"/>
      <c r="J111" s="35">
        <v>1</v>
      </c>
    </row>
    <row r="112" spans="1:10" ht="18" customHeight="1" thickBot="1">
      <c r="A112" s="645" t="s">
        <v>44</v>
      </c>
      <c r="B112" s="646"/>
      <c r="C112" s="647"/>
      <c r="D112" s="647"/>
      <c r="E112" s="647"/>
      <c r="F112" s="647"/>
      <c r="G112" s="647"/>
      <c r="H112" s="647"/>
      <c r="I112" s="647"/>
      <c r="J112" s="36">
        <f>ROUND((J106+J109+J110)/J111,2)</f>
        <v>0</v>
      </c>
    </row>
    <row r="113" spans="1:10" ht="18" customHeight="1">
      <c r="A113" s="27" t="s">
        <v>24</v>
      </c>
      <c r="B113" s="221"/>
      <c r="C113" s="106" t="s">
        <v>45</v>
      </c>
      <c r="D113" s="106" t="s">
        <v>46</v>
      </c>
      <c r="E113" s="650" t="s">
        <v>47</v>
      </c>
      <c r="F113" s="650"/>
      <c r="G113" s="650"/>
      <c r="H113" s="650" t="s">
        <v>48</v>
      </c>
      <c r="I113" s="650"/>
      <c r="J113" s="104" t="s">
        <v>49</v>
      </c>
    </row>
    <row r="114" spans="1:10" ht="18" customHeight="1">
      <c r="A114" s="30"/>
      <c r="B114" s="237"/>
      <c r="C114" s="31"/>
      <c r="D114" s="108"/>
      <c r="E114" s="673"/>
      <c r="F114" s="673"/>
      <c r="G114" s="673"/>
      <c r="H114" s="674"/>
      <c r="I114" s="674"/>
      <c r="J114" s="32"/>
    </row>
    <row r="115" spans="1:10" ht="18" customHeight="1" thickBot="1">
      <c r="A115" s="645" t="s">
        <v>50</v>
      </c>
      <c r="B115" s="646"/>
      <c r="C115" s="647"/>
      <c r="D115" s="647"/>
      <c r="E115" s="647"/>
      <c r="F115" s="647"/>
      <c r="G115" s="647"/>
      <c r="H115" s="647"/>
      <c r="I115" s="647"/>
      <c r="J115" s="36">
        <f>SUM(J114:J114)</f>
        <v>0</v>
      </c>
    </row>
    <row r="116" spans="1:10" ht="18" customHeight="1">
      <c r="A116" s="27" t="s">
        <v>24</v>
      </c>
      <c r="B116" s="221"/>
      <c r="C116" s="106" t="s">
        <v>51</v>
      </c>
      <c r="D116" s="106" t="s">
        <v>46</v>
      </c>
      <c r="E116" s="650" t="s">
        <v>47</v>
      </c>
      <c r="F116" s="650"/>
      <c r="G116" s="650"/>
      <c r="H116" s="650" t="s">
        <v>48</v>
      </c>
      <c r="I116" s="650"/>
      <c r="J116" s="104" t="s">
        <v>49</v>
      </c>
    </row>
    <row r="117" spans="1:10" ht="48">
      <c r="A117" s="420" t="s">
        <v>205</v>
      </c>
      <c r="B117" s="242"/>
      <c r="C117" s="56" t="s">
        <v>202</v>
      </c>
      <c r="D117" s="109" t="s">
        <v>67</v>
      </c>
      <c r="E117" s="675">
        <v>1</v>
      </c>
      <c r="F117" s="675"/>
      <c r="G117" s="675"/>
      <c r="H117" s="676">
        <v>54.9</v>
      </c>
      <c r="I117" s="677"/>
      <c r="J117" s="57">
        <f>ROUND(H117*E117,2)</f>
        <v>54.9</v>
      </c>
    </row>
    <row r="118" spans="1:10" ht="18" customHeight="1" thickBot="1">
      <c r="A118" s="678" t="s">
        <v>52</v>
      </c>
      <c r="B118" s="679"/>
      <c r="C118" s="680"/>
      <c r="D118" s="680"/>
      <c r="E118" s="680"/>
      <c r="F118" s="680"/>
      <c r="G118" s="680"/>
      <c r="H118" s="680"/>
      <c r="I118" s="680"/>
      <c r="J118" s="36">
        <f>SUM(J117:J117)</f>
        <v>54.9</v>
      </c>
    </row>
    <row r="119" spans="1:10" ht="18" customHeight="1">
      <c r="A119" s="681" t="s">
        <v>24</v>
      </c>
      <c r="B119" s="238"/>
      <c r="C119" s="682" t="s">
        <v>53</v>
      </c>
      <c r="D119" s="650" t="s">
        <v>54</v>
      </c>
      <c r="E119" s="650"/>
      <c r="F119" s="650" t="s">
        <v>55</v>
      </c>
      <c r="G119" s="650"/>
      <c r="H119" s="650" t="s">
        <v>48</v>
      </c>
      <c r="I119" s="650"/>
      <c r="J119" s="683" t="s">
        <v>49</v>
      </c>
    </row>
    <row r="120" spans="1:10" ht="18" customHeight="1">
      <c r="A120" s="652"/>
      <c r="B120" s="235"/>
      <c r="C120" s="653"/>
      <c r="D120" s="107" t="s">
        <v>56</v>
      </c>
      <c r="E120" s="107" t="s">
        <v>57</v>
      </c>
      <c r="F120" s="642"/>
      <c r="G120" s="642"/>
      <c r="H120" s="642"/>
      <c r="I120" s="642"/>
      <c r="J120" s="684"/>
    </row>
    <row r="121" spans="1:10" ht="18" customHeight="1">
      <c r="A121" s="118"/>
      <c r="B121" s="243"/>
      <c r="C121" s="119"/>
      <c r="D121" s="68"/>
      <c r="E121" s="68"/>
      <c r="F121" s="685"/>
      <c r="G121" s="686"/>
      <c r="H121" s="687"/>
      <c r="I121" s="688"/>
      <c r="J121" s="120"/>
    </row>
    <row r="122" spans="1:10" ht="18" customHeight="1" thickBot="1">
      <c r="A122" s="645" t="s">
        <v>58</v>
      </c>
      <c r="B122" s="646"/>
      <c r="C122" s="647"/>
      <c r="D122" s="647"/>
      <c r="E122" s="647"/>
      <c r="F122" s="647"/>
      <c r="G122" s="647"/>
      <c r="H122" s="647"/>
      <c r="I122" s="647"/>
      <c r="J122" s="36">
        <f>SUM(J121:J121)</f>
        <v>0</v>
      </c>
    </row>
    <row r="123" spans="1:10" ht="18" customHeight="1" thickBot="1">
      <c r="A123" s="689"/>
      <c r="B123" s="690"/>
      <c r="C123" s="691"/>
      <c r="D123" s="691"/>
      <c r="E123" s="691"/>
      <c r="F123" s="691"/>
      <c r="G123" s="691"/>
      <c r="H123" s="691"/>
      <c r="I123" s="691"/>
      <c r="J123" s="692"/>
    </row>
    <row r="124" spans="1:10" ht="18" customHeight="1">
      <c r="A124" s="693" t="s">
        <v>59</v>
      </c>
      <c r="B124" s="694"/>
      <c r="C124" s="695"/>
      <c r="D124" s="695"/>
      <c r="E124" s="695"/>
      <c r="F124" s="695"/>
      <c r="G124" s="695"/>
      <c r="H124" s="695"/>
      <c r="I124" s="695"/>
      <c r="J124" s="39">
        <f>J112+J115+J118+J122</f>
        <v>54.9</v>
      </c>
    </row>
    <row r="125" spans="1:10" ht="18" customHeight="1">
      <c r="A125" s="696" t="s">
        <v>60</v>
      </c>
      <c r="B125" s="697"/>
      <c r="C125" s="697"/>
      <c r="D125" s="697"/>
      <c r="E125" s="697"/>
      <c r="F125" s="698">
        <v>0.2332</v>
      </c>
      <c r="G125" s="698"/>
      <c r="H125" s="698"/>
      <c r="I125" s="699"/>
      <c r="J125" s="40">
        <f>J124*F125</f>
        <v>12.8</v>
      </c>
    </row>
    <row r="126" spans="1:10" ht="18" customHeight="1" thickBot="1">
      <c r="A126" s="700" t="s">
        <v>61</v>
      </c>
      <c r="B126" s="701"/>
      <c r="C126" s="702"/>
      <c r="D126" s="702"/>
      <c r="E126" s="702"/>
      <c r="F126" s="702"/>
      <c r="G126" s="702"/>
      <c r="H126" s="702"/>
      <c r="I126" s="702"/>
      <c r="J126" s="42">
        <f>J124+J125</f>
        <v>67.7</v>
      </c>
    </row>
    <row r="127" spans="1:10" ht="4.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6"/>
    </row>
    <row r="128" spans="1:10" ht="18" customHeight="1">
      <c r="A128" s="709" t="s">
        <v>231</v>
      </c>
      <c r="B128" s="709"/>
      <c r="C128" s="642"/>
      <c r="D128" s="642"/>
      <c r="E128" s="642"/>
      <c r="F128" s="642"/>
      <c r="G128" s="642"/>
      <c r="H128" s="642"/>
      <c r="I128" s="642"/>
      <c r="J128" s="642"/>
    </row>
    <row r="129" spans="1:10" ht="18" customHeight="1">
      <c r="A129" s="712" t="s">
        <v>229</v>
      </c>
      <c r="B129" s="713"/>
      <c r="C129" s="140" t="s">
        <v>230</v>
      </c>
      <c r="D129" s="141"/>
      <c r="E129" s="141"/>
      <c r="F129" s="141"/>
      <c r="G129" s="141"/>
      <c r="H129" s="141"/>
      <c r="I129" s="142"/>
      <c r="J129" s="143">
        <v>51</v>
      </c>
    </row>
    <row r="130" spans="1:10" ht="18" customHeight="1">
      <c r="A130" s="712" t="s">
        <v>232</v>
      </c>
      <c r="B130" s="713"/>
      <c r="C130" s="140" t="s">
        <v>233</v>
      </c>
      <c r="D130" s="141"/>
      <c r="E130" s="141"/>
      <c r="F130" s="141"/>
      <c r="G130" s="141"/>
      <c r="H130" s="141"/>
      <c r="I130" s="142"/>
      <c r="J130" s="143">
        <v>55.6</v>
      </c>
    </row>
    <row r="131" spans="1:10" ht="18" customHeight="1">
      <c r="A131" s="712" t="s">
        <v>234</v>
      </c>
      <c r="B131" s="713"/>
      <c r="C131" s="140" t="s">
        <v>235</v>
      </c>
      <c r="D131" s="141"/>
      <c r="E131" s="141"/>
      <c r="F131" s="141"/>
      <c r="G131" s="141"/>
      <c r="H131" s="141"/>
      <c r="I131" s="142"/>
      <c r="J131" s="143">
        <v>58.1</v>
      </c>
    </row>
    <row r="132" spans="1:10" ht="18" customHeight="1">
      <c r="A132" s="642" t="s">
        <v>734</v>
      </c>
      <c r="B132" s="642"/>
      <c r="C132" s="383"/>
      <c r="D132" s="383"/>
      <c r="E132" s="383"/>
      <c r="F132" s="383"/>
      <c r="G132" s="383"/>
      <c r="H132" s="383"/>
      <c r="I132" s="384"/>
      <c r="J132" s="138">
        <f>(J131+J130+J129)/3</f>
        <v>54.9</v>
      </c>
    </row>
    <row r="133" ht="18" customHeight="1" thickBot="1"/>
    <row r="134" spans="1:10" s="15" customFormat="1" ht="24.75" customHeight="1">
      <c r="A134" s="710" t="s">
        <v>726</v>
      </c>
      <c r="B134" s="711"/>
      <c r="C134" s="703" t="s">
        <v>190</v>
      </c>
      <c r="D134" s="704"/>
      <c r="E134" s="704"/>
      <c r="F134" s="704"/>
      <c r="G134" s="704"/>
      <c r="H134" s="704"/>
      <c r="I134" s="704"/>
      <c r="J134" s="705"/>
    </row>
    <row r="135" spans="1:10" ht="18" customHeight="1" thickBot="1">
      <c r="A135" s="657" t="s">
        <v>733</v>
      </c>
      <c r="B135" s="658"/>
      <c r="C135" s="658"/>
      <c r="D135" s="658"/>
      <c r="E135" s="658"/>
      <c r="F135" s="658"/>
      <c r="G135" s="659"/>
      <c r="H135" s="706" t="s">
        <v>191</v>
      </c>
      <c r="I135" s="707"/>
      <c r="J135" s="708"/>
    </row>
    <row r="136" spans="1:10" ht="18" customHeight="1">
      <c r="A136" s="415" t="s">
        <v>24</v>
      </c>
      <c r="B136" s="379"/>
      <c r="C136" s="714" t="s">
        <v>25</v>
      </c>
      <c r="D136" s="716" t="s">
        <v>26</v>
      </c>
      <c r="E136" s="611" t="s">
        <v>27</v>
      </c>
      <c r="F136" s="630"/>
      <c r="G136" s="612"/>
      <c r="H136" s="611" t="s">
        <v>28</v>
      </c>
      <c r="I136" s="630"/>
      <c r="J136" s="718"/>
    </row>
    <row r="137" spans="1:10" ht="25.5">
      <c r="A137" s="380"/>
      <c r="B137" s="381"/>
      <c r="C137" s="715"/>
      <c r="D137" s="717"/>
      <c r="E137" s="79" t="s">
        <v>29</v>
      </c>
      <c r="F137" s="79" t="s">
        <v>30</v>
      </c>
      <c r="G137" s="79" t="s">
        <v>31</v>
      </c>
      <c r="H137" s="79" t="s">
        <v>30</v>
      </c>
      <c r="I137" s="79" t="s">
        <v>31</v>
      </c>
      <c r="J137" s="80" t="s">
        <v>32</v>
      </c>
    </row>
    <row r="138" spans="1:10" ht="18" customHeight="1">
      <c r="A138" s="327"/>
      <c r="B138" s="321"/>
      <c r="C138" s="81"/>
      <c r="D138" s="82"/>
      <c r="E138" s="83"/>
      <c r="F138" s="83"/>
      <c r="G138" s="83">
        <v>0</v>
      </c>
      <c r="H138" s="84"/>
      <c r="I138" s="84"/>
      <c r="J138" s="85">
        <f>E138*H138</f>
        <v>0</v>
      </c>
    </row>
    <row r="139" spans="1:10" ht="18" customHeight="1" thickBot="1">
      <c r="A139" s="617" t="s">
        <v>34</v>
      </c>
      <c r="B139" s="618"/>
      <c r="C139" s="618"/>
      <c r="D139" s="618"/>
      <c r="E139" s="618"/>
      <c r="F139" s="618"/>
      <c r="G139" s="618"/>
      <c r="H139" s="618"/>
      <c r="I139" s="619"/>
      <c r="J139" s="86">
        <f>SUM(J138)</f>
        <v>0</v>
      </c>
    </row>
    <row r="140" spans="1:10" ht="25.5">
      <c r="A140" s="78" t="s">
        <v>24</v>
      </c>
      <c r="B140" s="239"/>
      <c r="C140" s="400" t="s">
        <v>35</v>
      </c>
      <c r="D140" s="400" t="s">
        <v>36</v>
      </c>
      <c r="E140" s="400"/>
      <c r="F140" s="400" t="s">
        <v>37</v>
      </c>
      <c r="G140" s="400"/>
      <c r="H140" s="611" t="s">
        <v>177</v>
      </c>
      <c r="I140" s="612"/>
      <c r="J140" s="87" t="s">
        <v>32</v>
      </c>
    </row>
    <row r="141" spans="1:10" ht="14.25" customHeight="1">
      <c r="A141" s="321">
        <v>20070</v>
      </c>
      <c r="B141" s="321" t="s">
        <v>424</v>
      </c>
      <c r="C141" s="322" t="s">
        <v>178</v>
      </c>
      <c r="D141" s="321" t="s">
        <v>179</v>
      </c>
      <c r="E141" s="636">
        <v>1</v>
      </c>
      <c r="F141" s="641"/>
      <c r="G141" s="637"/>
      <c r="H141" s="636">
        <v>17207.74</v>
      </c>
      <c r="I141" s="637"/>
      <c r="J141" s="323">
        <f aca="true" t="shared" si="1" ref="J141:J147">ROUND(H141*E141,2)</f>
        <v>17207.74</v>
      </c>
    </row>
    <row r="142" spans="1:10" ht="14.25" customHeight="1">
      <c r="A142" s="321">
        <v>99301</v>
      </c>
      <c r="B142" s="321" t="s">
        <v>424</v>
      </c>
      <c r="C142" t="s">
        <v>631</v>
      </c>
      <c r="D142" s="321" t="s">
        <v>183</v>
      </c>
      <c r="E142" s="636">
        <v>220</v>
      </c>
      <c r="F142" s="641"/>
      <c r="G142" s="637"/>
      <c r="H142" s="636">
        <v>29.07</v>
      </c>
      <c r="I142" s="637"/>
      <c r="J142" s="323">
        <f t="shared" si="1"/>
        <v>6395.4</v>
      </c>
    </row>
    <row r="143" spans="1:10" ht="14.25" customHeight="1">
      <c r="A143" s="321">
        <v>20009</v>
      </c>
      <c r="B143" s="321" t="s">
        <v>424</v>
      </c>
      <c r="C143" s="322" t="s">
        <v>180</v>
      </c>
      <c r="D143" s="321" t="s">
        <v>179</v>
      </c>
      <c r="E143" s="636">
        <v>1</v>
      </c>
      <c r="F143" s="641"/>
      <c r="G143" s="637"/>
      <c r="H143" s="636">
        <v>6757.37</v>
      </c>
      <c r="I143" s="637"/>
      <c r="J143" s="323">
        <f t="shared" si="1"/>
        <v>6757.37</v>
      </c>
    </row>
    <row r="144" spans="1:10" ht="14.25" customHeight="1">
      <c r="A144" s="321">
        <v>20014</v>
      </c>
      <c r="B144" s="321" t="s">
        <v>424</v>
      </c>
      <c r="C144" s="322" t="s">
        <v>181</v>
      </c>
      <c r="D144" s="321" t="s">
        <v>179</v>
      </c>
      <c r="E144" s="636">
        <v>2</v>
      </c>
      <c r="F144" s="641"/>
      <c r="G144" s="637"/>
      <c r="H144" s="636">
        <v>6712.82</v>
      </c>
      <c r="I144" s="637"/>
      <c r="J144" s="323">
        <f t="shared" si="1"/>
        <v>13425.64</v>
      </c>
    </row>
    <row r="145" spans="1:10" ht="14.25" customHeight="1">
      <c r="A145" s="321">
        <v>20029</v>
      </c>
      <c r="B145" s="321" t="s">
        <v>424</v>
      </c>
      <c r="C145" s="322" t="s">
        <v>182</v>
      </c>
      <c r="D145" s="321" t="s">
        <v>179</v>
      </c>
      <c r="E145" s="636">
        <v>2</v>
      </c>
      <c r="F145" s="641"/>
      <c r="G145" s="637"/>
      <c r="H145" s="636">
        <v>2347.52</v>
      </c>
      <c r="I145" s="637"/>
      <c r="J145" s="323">
        <f t="shared" si="1"/>
        <v>4695.04</v>
      </c>
    </row>
    <row r="146" spans="1:10" ht="14.25" customHeight="1">
      <c r="A146" s="313">
        <v>20021</v>
      </c>
      <c r="B146" s="321" t="s">
        <v>424</v>
      </c>
      <c r="C146" t="s">
        <v>634</v>
      </c>
      <c r="D146" s="321" t="s">
        <v>179</v>
      </c>
      <c r="E146" s="636">
        <v>1</v>
      </c>
      <c r="F146" s="641"/>
      <c r="G146" s="637"/>
      <c r="H146" s="636">
        <v>2892.75</v>
      </c>
      <c r="I146" s="637"/>
      <c r="J146" s="323">
        <f t="shared" si="1"/>
        <v>2892.75</v>
      </c>
    </row>
    <row r="147" spans="1:10" ht="14.25" customHeight="1">
      <c r="A147" s="313">
        <v>100387</v>
      </c>
      <c r="B147" s="321" t="s">
        <v>424</v>
      </c>
      <c r="C147" s="324" t="s">
        <v>635</v>
      </c>
      <c r="D147" s="321" t="s">
        <v>179</v>
      </c>
      <c r="E147" s="636">
        <v>1</v>
      </c>
      <c r="F147" s="641"/>
      <c r="G147" s="637"/>
      <c r="H147" s="636">
        <v>2336.27</v>
      </c>
      <c r="I147" s="637"/>
      <c r="J147" s="323">
        <f t="shared" si="1"/>
        <v>2336.27</v>
      </c>
    </row>
    <row r="148" spans="1:10" ht="14.25" customHeight="1">
      <c r="A148" s="313">
        <v>20089</v>
      </c>
      <c r="B148" s="321" t="s">
        <v>424</v>
      </c>
      <c r="C148" s="324" t="s">
        <v>640</v>
      </c>
      <c r="D148" s="321" t="s">
        <v>179</v>
      </c>
      <c r="E148" s="636">
        <v>1</v>
      </c>
      <c r="F148" s="641"/>
      <c r="G148" s="637"/>
      <c r="H148" s="636">
        <v>6218.76</v>
      </c>
      <c r="I148" s="637"/>
      <c r="J148" s="323">
        <f>ROUND(H148*E148,2)</f>
        <v>6218.76</v>
      </c>
    </row>
    <row r="149" spans="1:10" ht="14.25" customHeight="1">
      <c r="A149" s="313">
        <v>20090</v>
      </c>
      <c r="B149" s="321" t="s">
        <v>424</v>
      </c>
      <c r="C149" s="328" t="s">
        <v>641</v>
      </c>
      <c r="D149" s="321" t="s">
        <v>179</v>
      </c>
      <c r="E149" s="636">
        <v>1</v>
      </c>
      <c r="F149" s="641"/>
      <c r="G149" s="637"/>
      <c r="H149" s="636">
        <v>3728.88</v>
      </c>
      <c r="I149" s="637"/>
      <c r="J149" s="323">
        <f>ROUND(H149*E149,2)</f>
        <v>3728.88</v>
      </c>
    </row>
    <row r="150" spans="1:10" ht="14.25" customHeight="1">
      <c r="A150" s="321">
        <v>20019</v>
      </c>
      <c r="B150" s="321" t="s">
        <v>424</v>
      </c>
      <c r="C150" s="328" t="s">
        <v>633</v>
      </c>
      <c r="D150" s="321" t="s">
        <v>183</v>
      </c>
      <c r="E150" s="636">
        <v>440</v>
      </c>
      <c r="F150" s="641"/>
      <c r="G150" s="637"/>
      <c r="H150" s="636">
        <v>12.86</v>
      </c>
      <c r="I150" s="637"/>
      <c r="J150" s="323">
        <f>ROUND(H150*E150,2)</f>
        <v>5658.4</v>
      </c>
    </row>
    <row r="151" spans="1:10" ht="14.25" customHeight="1">
      <c r="A151" s="321">
        <v>20097</v>
      </c>
      <c r="B151" s="321" t="s">
        <v>424</v>
      </c>
      <c r="C151" s="322" t="s">
        <v>632</v>
      </c>
      <c r="D151" s="321" t="s">
        <v>183</v>
      </c>
      <c r="E151" s="636">
        <v>440</v>
      </c>
      <c r="F151" s="641"/>
      <c r="G151" s="637"/>
      <c r="H151" s="636">
        <v>25.72</v>
      </c>
      <c r="I151" s="637"/>
      <c r="J151" s="323">
        <f>ROUND(H151*E151,2)</f>
        <v>11316.8</v>
      </c>
    </row>
    <row r="152" spans="1:10" ht="18" customHeight="1">
      <c r="A152" s="719" t="s">
        <v>41</v>
      </c>
      <c r="B152" s="720"/>
      <c r="C152" s="720"/>
      <c r="D152" s="720"/>
      <c r="E152" s="720"/>
      <c r="F152" s="720"/>
      <c r="G152" s="720"/>
      <c r="H152" s="720"/>
      <c r="I152" s="721"/>
      <c r="J152" s="378">
        <f>SUM(J141:J151)</f>
        <v>80633.05</v>
      </c>
    </row>
    <row r="153" spans="1:10" ht="18" customHeight="1">
      <c r="A153" s="719" t="s">
        <v>42</v>
      </c>
      <c r="B153" s="720"/>
      <c r="C153" s="720"/>
      <c r="D153" s="720"/>
      <c r="E153" s="720"/>
      <c r="F153" s="720"/>
      <c r="G153" s="720"/>
      <c r="H153" s="720"/>
      <c r="I153" s="721"/>
      <c r="J153" s="378">
        <f>ROUND(J152*0,2)</f>
        <v>0</v>
      </c>
    </row>
    <row r="154" spans="1:10" ht="18" customHeight="1">
      <c r="A154" s="719" t="s">
        <v>43</v>
      </c>
      <c r="B154" s="720"/>
      <c r="C154" s="720"/>
      <c r="D154" s="720"/>
      <c r="E154" s="720"/>
      <c r="F154" s="720"/>
      <c r="G154" s="720"/>
      <c r="H154" s="720"/>
      <c r="I154" s="721"/>
      <c r="J154" s="378">
        <v>1</v>
      </c>
    </row>
    <row r="155" spans="1:10" ht="18" customHeight="1" thickBot="1">
      <c r="A155" s="617" t="s">
        <v>44</v>
      </c>
      <c r="B155" s="618"/>
      <c r="C155" s="618"/>
      <c r="D155" s="618"/>
      <c r="E155" s="618"/>
      <c r="F155" s="618"/>
      <c r="G155" s="618"/>
      <c r="H155" s="618"/>
      <c r="I155" s="619"/>
      <c r="J155" s="88">
        <f>ROUND((J139+J152+J153)/J154,2)</f>
        <v>80633.05</v>
      </c>
    </row>
    <row r="156" spans="1:10" ht="18" customHeight="1">
      <c r="A156" s="78" t="s">
        <v>24</v>
      </c>
      <c r="B156" s="239"/>
      <c r="C156" s="400" t="s">
        <v>45</v>
      </c>
      <c r="D156" s="400" t="s">
        <v>46</v>
      </c>
      <c r="E156" s="611" t="s">
        <v>47</v>
      </c>
      <c r="F156" s="630"/>
      <c r="G156" s="612"/>
      <c r="H156" s="611" t="s">
        <v>48</v>
      </c>
      <c r="I156" s="612"/>
      <c r="J156" s="397" t="s">
        <v>49</v>
      </c>
    </row>
    <row r="157" spans="1:10" ht="25.5">
      <c r="A157" s="321">
        <v>10587</v>
      </c>
      <c r="B157" s="321" t="s">
        <v>424</v>
      </c>
      <c r="C157" s="322" t="s">
        <v>184</v>
      </c>
      <c r="D157" s="321" t="s">
        <v>185</v>
      </c>
      <c r="E157" s="638">
        <v>1</v>
      </c>
      <c r="F157" s="639"/>
      <c r="G157" s="640"/>
      <c r="H157" s="636">
        <v>2418.27</v>
      </c>
      <c r="I157" s="637"/>
      <c r="J157" s="323">
        <f aca="true" t="shared" si="2" ref="J157:J162">ROUND(H157*E157,2)</f>
        <v>2418.27</v>
      </c>
    </row>
    <row r="158" spans="1:10" ht="25.5">
      <c r="A158" s="321">
        <v>11490</v>
      </c>
      <c r="B158" s="321" t="s">
        <v>424</v>
      </c>
      <c r="C158" s="322" t="s">
        <v>636</v>
      </c>
      <c r="D158" s="321" t="s">
        <v>185</v>
      </c>
      <c r="E158" s="638">
        <v>1</v>
      </c>
      <c r="F158" s="639"/>
      <c r="G158" s="640"/>
      <c r="H158" s="636">
        <v>3979.95</v>
      </c>
      <c r="I158" s="637"/>
      <c r="J158" s="323">
        <f t="shared" si="2"/>
        <v>3979.95</v>
      </c>
    </row>
    <row r="159" spans="1:10" ht="25.5">
      <c r="A159" s="321">
        <v>10586</v>
      </c>
      <c r="B159" s="321" t="s">
        <v>424</v>
      </c>
      <c r="C159" s="322" t="s">
        <v>637</v>
      </c>
      <c r="D159" s="321" t="s">
        <v>185</v>
      </c>
      <c r="E159" s="638">
        <v>2</v>
      </c>
      <c r="F159" s="639"/>
      <c r="G159" s="640"/>
      <c r="H159" s="636">
        <v>5711.33</v>
      </c>
      <c r="I159" s="637"/>
      <c r="J159" s="323">
        <f t="shared" si="2"/>
        <v>11422.66</v>
      </c>
    </row>
    <row r="160" spans="1:10" ht="12.75">
      <c r="A160" s="321">
        <v>10588</v>
      </c>
      <c r="B160" s="321" t="s">
        <v>424</v>
      </c>
      <c r="C160" s="461" t="s">
        <v>731</v>
      </c>
      <c r="D160" s="321" t="s">
        <v>185</v>
      </c>
      <c r="E160" s="638">
        <v>1</v>
      </c>
      <c r="F160" s="639"/>
      <c r="G160" s="640"/>
      <c r="H160" s="636">
        <v>3939.03</v>
      </c>
      <c r="I160" s="637"/>
      <c r="J160" s="323">
        <f t="shared" si="2"/>
        <v>3939.03</v>
      </c>
    </row>
    <row r="161" spans="1:10" ht="12.75">
      <c r="A161" s="321">
        <v>10589</v>
      </c>
      <c r="B161" s="321" t="s">
        <v>424</v>
      </c>
      <c r="C161" s="461" t="s">
        <v>732</v>
      </c>
      <c r="D161" s="321" t="s">
        <v>185</v>
      </c>
      <c r="E161" s="638">
        <v>1</v>
      </c>
      <c r="F161" s="639"/>
      <c r="G161" s="640"/>
      <c r="H161" s="636">
        <v>5219.59</v>
      </c>
      <c r="I161" s="637"/>
      <c r="J161" s="323">
        <f t="shared" si="2"/>
        <v>5219.59</v>
      </c>
    </row>
    <row r="162" spans="1:10" ht="12.75">
      <c r="A162" s="321">
        <v>10859</v>
      </c>
      <c r="B162" s="321" t="s">
        <v>424</v>
      </c>
      <c r="C162" s="325" t="s">
        <v>192</v>
      </c>
      <c r="D162" s="321" t="s">
        <v>127</v>
      </c>
      <c r="E162" s="638">
        <v>1500</v>
      </c>
      <c r="F162" s="639"/>
      <c r="G162" s="640"/>
      <c r="H162" s="636">
        <v>6.5</v>
      </c>
      <c r="I162" s="637"/>
      <c r="J162" s="326">
        <f t="shared" si="2"/>
        <v>9750</v>
      </c>
    </row>
    <row r="163" spans="1:10" ht="18" customHeight="1" thickBot="1">
      <c r="A163" s="617" t="s">
        <v>50</v>
      </c>
      <c r="B163" s="618"/>
      <c r="C163" s="618"/>
      <c r="D163" s="618"/>
      <c r="E163" s="618"/>
      <c r="F163" s="618"/>
      <c r="G163" s="618"/>
      <c r="H163" s="618"/>
      <c r="I163" s="619"/>
      <c r="J163" s="88">
        <f>SUM(J157:J162)</f>
        <v>36729.5</v>
      </c>
    </row>
    <row r="164" spans="1:10" ht="18" customHeight="1">
      <c r="A164" s="78" t="s">
        <v>24</v>
      </c>
      <c r="B164" s="239"/>
      <c r="C164" s="400" t="s">
        <v>51</v>
      </c>
      <c r="D164" s="400" t="s">
        <v>46</v>
      </c>
      <c r="E164" s="611" t="s">
        <v>47</v>
      </c>
      <c r="F164" s="630"/>
      <c r="G164" s="612"/>
      <c r="H164" s="611" t="s">
        <v>48</v>
      </c>
      <c r="I164" s="612"/>
      <c r="J164" s="397" t="s">
        <v>49</v>
      </c>
    </row>
    <row r="165" spans="1:10" ht="18" customHeight="1">
      <c r="A165" s="89"/>
      <c r="B165" s="240"/>
      <c r="C165" s="90"/>
      <c r="D165" s="398"/>
      <c r="E165" s="631"/>
      <c r="F165" s="632"/>
      <c r="G165" s="633"/>
      <c r="H165" s="634"/>
      <c r="I165" s="635"/>
      <c r="J165" s="91"/>
    </row>
    <row r="166" spans="1:10" ht="18" customHeight="1" thickBot="1">
      <c r="A166" s="617" t="s">
        <v>52</v>
      </c>
      <c r="B166" s="618"/>
      <c r="C166" s="618"/>
      <c r="D166" s="618"/>
      <c r="E166" s="618"/>
      <c r="F166" s="618"/>
      <c r="G166" s="618"/>
      <c r="H166" s="618"/>
      <c r="I166" s="619"/>
      <c r="J166" s="86">
        <f>SUM(J165:J165)</f>
        <v>0</v>
      </c>
    </row>
    <row r="167" spans="1:10" s="15" customFormat="1" ht="24.75" customHeight="1">
      <c r="A167" s="821" t="s">
        <v>24</v>
      </c>
      <c r="B167" s="399"/>
      <c r="C167" s="714" t="s">
        <v>53</v>
      </c>
      <c r="D167" s="611" t="s">
        <v>54</v>
      </c>
      <c r="E167" s="612"/>
      <c r="F167" s="613" t="s">
        <v>55</v>
      </c>
      <c r="G167" s="614"/>
      <c r="H167" s="613" t="s">
        <v>48</v>
      </c>
      <c r="I167" s="614"/>
      <c r="J167" s="809" t="s">
        <v>49</v>
      </c>
    </row>
    <row r="168" spans="1:10" ht="18" customHeight="1">
      <c r="A168" s="822"/>
      <c r="B168" s="381"/>
      <c r="C168" s="715"/>
      <c r="D168" s="92" t="s">
        <v>56</v>
      </c>
      <c r="E168" s="92" t="s">
        <v>57</v>
      </c>
      <c r="F168" s="615"/>
      <c r="G168" s="616"/>
      <c r="H168" s="615"/>
      <c r="I168" s="616"/>
      <c r="J168" s="810"/>
    </row>
    <row r="169" spans="1:10" ht="18" customHeight="1">
      <c r="A169" s="93"/>
      <c r="B169" s="241"/>
      <c r="C169" s="94"/>
      <c r="D169" s="95"/>
      <c r="E169" s="95"/>
      <c r="F169" s="811"/>
      <c r="G169" s="812"/>
      <c r="H169" s="813"/>
      <c r="I169" s="814"/>
      <c r="J169" s="96"/>
    </row>
    <row r="170" spans="1:10" ht="13.5" thickBot="1">
      <c r="A170" s="617" t="s">
        <v>58</v>
      </c>
      <c r="B170" s="618"/>
      <c r="C170" s="618"/>
      <c r="D170" s="618"/>
      <c r="E170" s="618"/>
      <c r="F170" s="618"/>
      <c r="G170" s="618"/>
      <c r="H170" s="618"/>
      <c r="I170" s="619"/>
      <c r="J170" s="86">
        <f>SUM(J169:J169)</f>
        <v>0</v>
      </c>
    </row>
    <row r="171" spans="1:10" ht="13.5" thickBot="1">
      <c r="A171" s="620"/>
      <c r="B171" s="621"/>
      <c r="C171" s="621"/>
      <c r="D171" s="621"/>
      <c r="E171" s="621"/>
      <c r="F171" s="621"/>
      <c r="G171" s="621"/>
      <c r="H171" s="621"/>
      <c r="I171" s="622"/>
      <c r="J171" s="97"/>
    </row>
    <row r="172" spans="1:10" ht="12.75">
      <c r="A172" s="623" t="s">
        <v>186</v>
      </c>
      <c r="B172" s="624"/>
      <c r="C172" s="624"/>
      <c r="D172" s="624"/>
      <c r="E172" s="624"/>
      <c r="F172" s="624"/>
      <c r="G172" s="624"/>
      <c r="H172" s="624"/>
      <c r="I172" s="625"/>
      <c r="J172" s="97">
        <f>SUM(J141:J151)</f>
        <v>80633.05</v>
      </c>
    </row>
    <row r="173" spans="1:10" ht="12.75">
      <c r="A173" s="394" t="s">
        <v>187</v>
      </c>
      <c r="B173" s="395"/>
      <c r="C173" s="395"/>
      <c r="D173" s="395"/>
      <c r="E173" s="395"/>
      <c r="F173" s="395"/>
      <c r="G173" s="395"/>
      <c r="H173" s="395"/>
      <c r="I173" s="396"/>
      <c r="J173" s="98">
        <f>J163</f>
        <v>36729.5</v>
      </c>
    </row>
    <row r="174" spans="1:10" ht="12.75">
      <c r="A174" s="606" t="s">
        <v>188</v>
      </c>
      <c r="B174" s="607"/>
      <c r="C174" s="607"/>
      <c r="D174" s="607"/>
      <c r="E174" s="607"/>
      <c r="F174" s="607"/>
      <c r="G174" s="607"/>
      <c r="H174" s="607"/>
      <c r="I174" s="608"/>
      <c r="J174" s="99">
        <f>TRUNC(J172+J173,2)</f>
        <v>117362.55</v>
      </c>
    </row>
    <row r="175" spans="1:10" ht="12.75">
      <c r="A175" s="606" t="s">
        <v>189</v>
      </c>
      <c r="B175" s="607"/>
      <c r="C175" s="607"/>
      <c r="D175" s="607"/>
      <c r="E175" s="607"/>
      <c r="F175" s="609"/>
      <c r="G175" s="609"/>
      <c r="H175" s="609"/>
      <c r="I175" s="610"/>
      <c r="J175" s="98">
        <f>J174*0.2332</f>
        <v>27368.95</v>
      </c>
    </row>
    <row r="176" spans="1:10" ht="12.75">
      <c r="A176" s="818" t="s">
        <v>193</v>
      </c>
      <c r="B176" s="819"/>
      <c r="C176" s="819"/>
      <c r="D176" s="819"/>
      <c r="E176" s="819"/>
      <c r="F176" s="819"/>
      <c r="G176" s="819"/>
      <c r="H176" s="819"/>
      <c r="I176" s="820"/>
      <c r="J176" s="100">
        <f>J174+J175</f>
        <v>144731.5</v>
      </c>
    </row>
    <row r="177" spans="1:10" ht="13.5" thickBot="1">
      <c r="A177" s="815" t="s">
        <v>194</v>
      </c>
      <c r="B177" s="816"/>
      <c r="C177" s="816"/>
      <c r="D177" s="816"/>
      <c r="E177" s="816"/>
      <c r="F177" s="816"/>
      <c r="G177" s="816"/>
      <c r="H177" s="816"/>
      <c r="I177" s="817"/>
      <c r="J177" s="42">
        <f>J176*12</f>
        <v>1736778</v>
      </c>
    </row>
  </sheetData>
  <sheetProtection selectLockedCells="1" selectUnlockedCells="1"/>
  <mergeCells count="282">
    <mergeCell ref="J167:J168"/>
    <mergeCell ref="F169:G169"/>
    <mergeCell ref="H169:I169"/>
    <mergeCell ref="A177:I177"/>
    <mergeCell ref="H161:I161"/>
    <mergeCell ref="A176:I176"/>
    <mergeCell ref="A166:I166"/>
    <mergeCell ref="A167:A168"/>
    <mergeCell ref="C167:C168"/>
    <mergeCell ref="H144:I144"/>
    <mergeCell ref="E145:G145"/>
    <mergeCell ref="H145:I145"/>
    <mergeCell ref="A152:I152"/>
    <mergeCell ref="E157:G157"/>
    <mergeCell ref="H157:I157"/>
    <mergeCell ref="H148:I148"/>
    <mergeCell ref="E148:G148"/>
    <mergeCell ref="E149:G149"/>
    <mergeCell ref="H149:I149"/>
    <mergeCell ref="A43:E43"/>
    <mergeCell ref="F43:I43"/>
    <mergeCell ref="A44:I44"/>
    <mergeCell ref="A3:G3"/>
    <mergeCell ref="A38:I38"/>
    <mergeCell ref="A39:J39"/>
    <mergeCell ref="A40:I40"/>
    <mergeCell ref="A41:I41"/>
    <mergeCell ref="F34:G34"/>
    <mergeCell ref="H34:I34"/>
    <mergeCell ref="A42:E42"/>
    <mergeCell ref="F42:I42"/>
    <mergeCell ref="F35:G35"/>
    <mergeCell ref="H35:I35"/>
    <mergeCell ref="F36:G36"/>
    <mergeCell ref="H36:I36"/>
    <mergeCell ref="F37:G37"/>
    <mergeCell ref="H37:I37"/>
    <mergeCell ref="B30:B31"/>
    <mergeCell ref="J30:J31"/>
    <mergeCell ref="F32:G32"/>
    <mergeCell ref="H32:I32"/>
    <mergeCell ref="F33:G33"/>
    <mergeCell ref="H33:I33"/>
    <mergeCell ref="E27:G27"/>
    <mergeCell ref="H27:I27"/>
    <mergeCell ref="E28:G28"/>
    <mergeCell ref="H28:I28"/>
    <mergeCell ref="A29:I29"/>
    <mergeCell ref="A30:A31"/>
    <mergeCell ref="C30:C31"/>
    <mergeCell ref="D30:E30"/>
    <mergeCell ref="F30:G31"/>
    <mergeCell ref="H30:I31"/>
    <mergeCell ref="E23:G23"/>
    <mergeCell ref="H23:I23"/>
    <mergeCell ref="A24:I24"/>
    <mergeCell ref="E25:G25"/>
    <mergeCell ref="H25:I25"/>
    <mergeCell ref="E26:G26"/>
    <mergeCell ref="H26:I26"/>
    <mergeCell ref="E19:G19"/>
    <mergeCell ref="H19:I19"/>
    <mergeCell ref="A20:I20"/>
    <mergeCell ref="E21:G21"/>
    <mergeCell ref="H21:I21"/>
    <mergeCell ref="E22:G22"/>
    <mergeCell ref="H22:I22"/>
    <mergeCell ref="A14:I14"/>
    <mergeCell ref="A15:I15"/>
    <mergeCell ref="A16:I16"/>
    <mergeCell ref="A17:I17"/>
    <mergeCell ref="E18:G18"/>
    <mergeCell ref="H18:I18"/>
    <mergeCell ref="H4:J4"/>
    <mergeCell ref="A2:B2"/>
    <mergeCell ref="B4:B5"/>
    <mergeCell ref="H12:I12"/>
    <mergeCell ref="E13:G13"/>
    <mergeCell ref="H13:I13"/>
    <mergeCell ref="C2:J2"/>
    <mergeCell ref="H3:J3"/>
    <mergeCell ref="A10:I10"/>
    <mergeCell ref="H11:I11"/>
    <mergeCell ref="E12:G12"/>
    <mergeCell ref="A135:G135"/>
    <mergeCell ref="A4:A5"/>
    <mergeCell ref="C4:C5"/>
    <mergeCell ref="D4:D5"/>
    <mergeCell ref="E4:G4"/>
    <mergeCell ref="H159:I159"/>
    <mergeCell ref="H162:I162"/>
    <mergeCell ref="E161:G161"/>
    <mergeCell ref="E151:G151"/>
    <mergeCell ref="H151:I151"/>
    <mergeCell ref="H156:I156"/>
    <mergeCell ref="E158:G158"/>
    <mergeCell ref="H158:I158"/>
    <mergeCell ref="E162:G162"/>
    <mergeCell ref="A54:I54"/>
    <mergeCell ref="A55:I55"/>
    <mergeCell ref="A56:I56"/>
    <mergeCell ref="A57:I57"/>
    <mergeCell ref="E58:G58"/>
    <mergeCell ref="H58:I58"/>
    <mergeCell ref="E48:G48"/>
    <mergeCell ref="C48:C49"/>
    <mergeCell ref="A51:I51"/>
    <mergeCell ref="H52:I52"/>
    <mergeCell ref="E53:G53"/>
    <mergeCell ref="A48:B49"/>
    <mergeCell ref="H59:I59"/>
    <mergeCell ref="A60:I60"/>
    <mergeCell ref="E61:G61"/>
    <mergeCell ref="H61:I61"/>
    <mergeCell ref="E59:G59"/>
    <mergeCell ref="C46:J46"/>
    <mergeCell ref="H47:J47"/>
    <mergeCell ref="A47:G47"/>
    <mergeCell ref="D48:D49"/>
    <mergeCell ref="E62:G62"/>
    <mergeCell ref="H62:I62"/>
    <mergeCell ref="A63:I63"/>
    <mergeCell ref="A64:A65"/>
    <mergeCell ref="C64:C65"/>
    <mergeCell ref="D64:E64"/>
    <mergeCell ref="F64:G65"/>
    <mergeCell ref="H64:I65"/>
    <mergeCell ref="A71:I71"/>
    <mergeCell ref="C73:J73"/>
    <mergeCell ref="J64:J65"/>
    <mergeCell ref="F66:G66"/>
    <mergeCell ref="H66:I66"/>
    <mergeCell ref="A67:I67"/>
    <mergeCell ref="A68:I68"/>
    <mergeCell ref="A69:I69"/>
    <mergeCell ref="F70:I70"/>
    <mergeCell ref="A70:E70"/>
    <mergeCell ref="H74:J74"/>
    <mergeCell ref="A75:A76"/>
    <mergeCell ref="C75:C76"/>
    <mergeCell ref="D75:D76"/>
    <mergeCell ref="E75:G75"/>
    <mergeCell ref="H75:J75"/>
    <mergeCell ref="A78:I78"/>
    <mergeCell ref="H79:I79"/>
    <mergeCell ref="E80:G80"/>
    <mergeCell ref="H80:I80"/>
    <mergeCell ref="E81:G81"/>
    <mergeCell ref="H81:I81"/>
    <mergeCell ref="E89:G89"/>
    <mergeCell ref="H89:I89"/>
    <mergeCell ref="E90:G90"/>
    <mergeCell ref="H90:I90"/>
    <mergeCell ref="A82:I82"/>
    <mergeCell ref="A83:I83"/>
    <mergeCell ref="A84:I84"/>
    <mergeCell ref="A85:I85"/>
    <mergeCell ref="E86:G86"/>
    <mergeCell ref="H86:I86"/>
    <mergeCell ref="J92:J93"/>
    <mergeCell ref="F94:G94"/>
    <mergeCell ref="H94:I94"/>
    <mergeCell ref="A95:I95"/>
    <mergeCell ref="A97:I97"/>
    <mergeCell ref="A91:I91"/>
    <mergeCell ref="A92:A93"/>
    <mergeCell ref="C92:C93"/>
    <mergeCell ref="D92:E92"/>
    <mergeCell ref="F92:G93"/>
    <mergeCell ref="A98:E98"/>
    <mergeCell ref="F98:I98"/>
    <mergeCell ref="A99:I99"/>
    <mergeCell ref="A74:G74"/>
    <mergeCell ref="H92:I93"/>
    <mergeCell ref="E87:G87"/>
    <mergeCell ref="H87:I87"/>
    <mergeCell ref="A88:I88"/>
    <mergeCell ref="B75:B76"/>
    <mergeCell ref="E150:G150"/>
    <mergeCell ref="A153:I153"/>
    <mergeCell ref="A155:I155"/>
    <mergeCell ref="A154:I154"/>
    <mergeCell ref="H140:I140"/>
    <mergeCell ref="E141:G141"/>
    <mergeCell ref="E146:G146"/>
    <mergeCell ref="H146:I146"/>
    <mergeCell ref="E136:G136"/>
    <mergeCell ref="H136:J136"/>
    <mergeCell ref="A139:I139"/>
    <mergeCell ref="H143:I143"/>
    <mergeCell ref="E144:G144"/>
    <mergeCell ref="H141:I141"/>
    <mergeCell ref="E142:G142"/>
    <mergeCell ref="H142:I142"/>
    <mergeCell ref="E143:G143"/>
    <mergeCell ref="A125:E125"/>
    <mergeCell ref="F125:I125"/>
    <mergeCell ref="A126:I126"/>
    <mergeCell ref="C134:J134"/>
    <mergeCell ref="H135:J135"/>
    <mergeCell ref="A128:J128"/>
    <mergeCell ref="A134:B134"/>
    <mergeCell ref="A129:B129"/>
    <mergeCell ref="A130:B130"/>
    <mergeCell ref="A131:B131"/>
    <mergeCell ref="J119:J120"/>
    <mergeCell ref="F121:G121"/>
    <mergeCell ref="H121:I121"/>
    <mergeCell ref="A122:I122"/>
    <mergeCell ref="A123:J123"/>
    <mergeCell ref="A124:I124"/>
    <mergeCell ref="E117:G117"/>
    <mergeCell ref="H117:I117"/>
    <mergeCell ref="A118:I118"/>
    <mergeCell ref="A119:A120"/>
    <mergeCell ref="C119:C120"/>
    <mergeCell ref="D119:E119"/>
    <mergeCell ref="F119:G120"/>
    <mergeCell ref="H119:I120"/>
    <mergeCell ref="E113:G113"/>
    <mergeCell ref="H113:I113"/>
    <mergeCell ref="E114:G114"/>
    <mergeCell ref="H114:I114"/>
    <mergeCell ref="A115:I115"/>
    <mergeCell ref="E116:G116"/>
    <mergeCell ref="H116:I116"/>
    <mergeCell ref="E108:G108"/>
    <mergeCell ref="H108:I108"/>
    <mergeCell ref="A109:I109"/>
    <mergeCell ref="A110:I110"/>
    <mergeCell ref="A111:I111"/>
    <mergeCell ref="A112:I112"/>
    <mergeCell ref="C101:J101"/>
    <mergeCell ref="A102:C102"/>
    <mergeCell ref="D102:G102"/>
    <mergeCell ref="H102:J102"/>
    <mergeCell ref="A101:B101"/>
    <mergeCell ref="H103:J103"/>
    <mergeCell ref="A106:I106"/>
    <mergeCell ref="E107:G107"/>
    <mergeCell ref="H107:I107"/>
    <mergeCell ref="A103:A104"/>
    <mergeCell ref="B103:B104"/>
    <mergeCell ref="C103:C104"/>
    <mergeCell ref="E160:G160"/>
    <mergeCell ref="E156:G156"/>
    <mergeCell ref="H160:I160"/>
    <mergeCell ref="E147:G147"/>
    <mergeCell ref="A132:B132"/>
    <mergeCell ref="C136:C137"/>
    <mergeCell ref="D136:D137"/>
    <mergeCell ref="A73:B73"/>
    <mergeCell ref="A46:B46"/>
    <mergeCell ref="A163:I163"/>
    <mergeCell ref="E164:G164"/>
    <mergeCell ref="H164:I164"/>
    <mergeCell ref="E165:G165"/>
    <mergeCell ref="H165:I165"/>
    <mergeCell ref="H147:I147"/>
    <mergeCell ref="H150:I150"/>
    <mergeCell ref="E159:G159"/>
    <mergeCell ref="A174:I174"/>
    <mergeCell ref="A175:E175"/>
    <mergeCell ref="F175:I175"/>
    <mergeCell ref="D167:E167"/>
    <mergeCell ref="F167:G168"/>
    <mergeCell ref="H167:I168"/>
    <mergeCell ref="A170:I170"/>
    <mergeCell ref="A171:I171"/>
    <mergeCell ref="A172:I172"/>
  </mergeCells>
  <printOptions horizontalCentered="1"/>
  <pageMargins left="0.5118055555555555" right="0.5118055555555555" top="0.7875" bottom="0.7875" header="0.31527777777777777" footer="0.31527777777777777"/>
  <pageSetup horizontalDpi="300" verticalDpi="300" orientation="portrait" paperSize="9" scale="63" r:id="rId1"/>
  <headerFooter alignWithMargins="0">
    <oddHeader>&amp;C&amp;A&amp;R&amp;P/&amp;N</oddHeader>
    <oddFooter>&amp;R&amp;P/&amp;N
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="85" zoomScaleNormal="85" zoomScaleSheetLayoutView="100" zoomScalePageLayoutView="0" workbookViewId="0" topLeftCell="A13">
      <selection activeCell="E52" sqref="E52:G52"/>
    </sheetView>
  </sheetViews>
  <sheetFormatPr defaultColWidth="9.140625" defaultRowHeight="12.75"/>
  <cols>
    <col min="1" max="1" width="6.8515625" style="126" customWidth="1"/>
    <col min="2" max="2" width="40.140625" style="126" customWidth="1"/>
    <col min="3" max="3" width="17.421875" style="126" customWidth="1"/>
    <col min="4" max="4" width="15.7109375" style="126" bestFit="1" customWidth="1"/>
    <col min="5" max="5" width="18.421875" style="134" customWidth="1"/>
    <col min="6" max="7" width="14.8515625" style="134" bestFit="1" customWidth="1"/>
    <col min="8" max="10" width="15.7109375" style="134" bestFit="1" customWidth="1"/>
    <col min="11" max="15" width="15.7109375" style="126" bestFit="1" customWidth="1"/>
    <col min="16" max="16" width="15.8515625" style="126" bestFit="1" customWidth="1"/>
    <col min="17" max="16384" width="9.140625" style="126" customWidth="1"/>
  </cols>
  <sheetData>
    <row r="1" spans="1:16" ht="108.75" customHeight="1" thickBot="1">
      <c r="A1" s="844" t="s">
        <v>430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6"/>
    </row>
    <row r="2" spans="1:16" ht="31.5" customHeight="1" thickBot="1">
      <c r="A2" s="847" t="s">
        <v>208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9"/>
    </row>
    <row r="3" spans="1:16" ht="15" customHeight="1">
      <c r="A3" s="850" t="s">
        <v>785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2"/>
    </row>
    <row r="4" spans="1:16" ht="21" customHeight="1" thickBot="1">
      <c r="A4" s="853" t="s">
        <v>786</v>
      </c>
      <c r="B4" s="854"/>
      <c r="C4" s="854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854"/>
      <c r="P4" s="855"/>
    </row>
    <row r="5" spans="1:16" s="497" customFormat="1" ht="35.25" customHeight="1" thickBot="1">
      <c r="A5" s="517" t="s">
        <v>787</v>
      </c>
      <c r="B5" s="518" t="s">
        <v>209</v>
      </c>
      <c r="C5" s="856" t="s">
        <v>788</v>
      </c>
      <c r="D5" s="857"/>
      <c r="E5" s="514" t="s">
        <v>210</v>
      </c>
      <c r="F5" s="509" t="s">
        <v>211</v>
      </c>
      <c r="G5" s="509" t="s">
        <v>212</v>
      </c>
      <c r="H5" s="509" t="s">
        <v>213</v>
      </c>
      <c r="I5" s="509" t="s">
        <v>214</v>
      </c>
      <c r="J5" s="509" t="s">
        <v>215</v>
      </c>
      <c r="K5" s="510" t="s">
        <v>216</v>
      </c>
      <c r="L5" s="510" t="s">
        <v>217</v>
      </c>
      <c r="M5" s="510" t="s">
        <v>218</v>
      </c>
      <c r="N5" s="510" t="s">
        <v>219</v>
      </c>
      <c r="O5" s="510" t="s">
        <v>220</v>
      </c>
      <c r="P5" s="511" t="s">
        <v>221</v>
      </c>
    </row>
    <row r="6" spans="1:16" ht="15" customHeight="1">
      <c r="A6" s="833">
        <v>1</v>
      </c>
      <c r="B6" s="836" t="str">
        <f>Resumo!B11</f>
        <v>TERRAPLEGEM, PAVIMENTAÇÃO E RECUPERAÇÃO DE VIAS</v>
      </c>
      <c r="C6" s="503" t="s">
        <v>222</v>
      </c>
      <c r="D6" s="519">
        <f>Resumo!C11</f>
        <v>11095599</v>
      </c>
      <c r="E6" s="525">
        <f>D6*0.0833</f>
        <v>924263.4</v>
      </c>
      <c r="F6" s="525">
        <f>D6*0.0833</f>
        <v>924263.4</v>
      </c>
      <c r="G6" s="525">
        <f>D6*0.0833</f>
        <v>924263.4</v>
      </c>
      <c r="H6" s="525">
        <f>D6*0.0833</f>
        <v>924263.4</v>
      </c>
      <c r="I6" s="525">
        <f>D6*0.0833</f>
        <v>924263.4</v>
      </c>
      <c r="J6" s="525">
        <f>D6*0.0833</f>
        <v>924263.4</v>
      </c>
      <c r="K6" s="525">
        <f>D6*0.0833</f>
        <v>924263.4</v>
      </c>
      <c r="L6" s="525">
        <f>D6*0.0833</f>
        <v>924263.4</v>
      </c>
      <c r="M6" s="525">
        <f>D6*0.0833</f>
        <v>924263.4</v>
      </c>
      <c r="N6" s="525">
        <f>D6*0.0833</f>
        <v>924263.4</v>
      </c>
      <c r="O6" s="526">
        <f>D6*0.0833</f>
        <v>924263.4</v>
      </c>
      <c r="P6" s="527">
        <f>D6*0.0837-0.04</f>
        <v>928701.6</v>
      </c>
    </row>
    <row r="7" spans="1:16" ht="15">
      <c r="A7" s="834"/>
      <c r="B7" s="841"/>
      <c r="C7" s="127"/>
      <c r="D7" s="520"/>
      <c r="E7" s="515"/>
      <c r="F7" s="128"/>
      <c r="G7" s="128"/>
      <c r="H7" s="129"/>
      <c r="I7" s="129"/>
      <c r="J7" s="129"/>
      <c r="K7" s="129"/>
      <c r="L7" s="129"/>
      <c r="M7" s="129"/>
      <c r="N7" s="129"/>
      <c r="O7" s="129"/>
      <c r="P7" s="130"/>
    </row>
    <row r="8" spans="1:16" ht="15.75" thickBot="1">
      <c r="A8" s="835"/>
      <c r="B8" s="842"/>
      <c r="C8" s="504" t="s">
        <v>223</v>
      </c>
      <c r="D8" s="521"/>
      <c r="E8" s="516">
        <v>0.0833</v>
      </c>
      <c r="F8" s="505">
        <v>0.0833</v>
      </c>
      <c r="G8" s="505">
        <v>0.0833</v>
      </c>
      <c r="H8" s="505">
        <v>0.0833</v>
      </c>
      <c r="I8" s="505">
        <v>0.0833</v>
      </c>
      <c r="J8" s="505">
        <v>0.0833</v>
      </c>
      <c r="K8" s="505">
        <v>0.0833</v>
      </c>
      <c r="L8" s="505">
        <v>0.0833</v>
      </c>
      <c r="M8" s="505">
        <v>0.0833</v>
      </c>
      <c r="N8" s="505">
        <v>0.0833</v>
      </c>
      <c r="O8" s="505">
        <v>0.0833</v>
      </c>
      <c r="P8" s="506">
        <f>(100%-91.63%)</f>
        <v>0.0837</v>
      </c>
    </row>
    <row r="9" spans="1:16" ht="15.75" customHeight="1">
      <c r="A9" s="839">
        <v>2</v>
      </c>
      <c r="B9" s="840" t="str">
        <f>Resumo!B12</f>
        <v>FORNECIMENTO DE MATERIAL BETUMINOSO E ARGILA.</v>
      </c>
      <c r="C9" s="500" t="s">
        <v>222</v>
      </c>
      <c r="D9" s="522">
        <f>Resumo!C12</f>
        <v>1925317.24</v>
      </c>
      <c r="E9" s="525">
        <f>D9*0.0833</f>
        <v>160378.93</v>
      </c>
      <c r="F9" s="525">
        <f>D9*0.0833</f>
        <v>160378.93</v>
      </c>
      <c r="G9" s="525">
        <f>D9*0.0833</f>
        <v>160378.93</v>
      </c>
      <c r="H9" s="525">
        <f>D9*0.0833</f>
        <v>160378.93</v>
      </c>
      <c r="I9" s="525">
        <f>D9*0.0833</f>
        <v>160378.93</v>
      </c>
      <c r="J9" s="525">
        <f>D9*0.0833</f>
        <v>160378.93</v>
      </c>
      <c r="K9" s="525">
        <f>D9*0.0833</f>
        <v>160378.93</v>
      </c>
      <c r="L9" s="525">
        <f>D9*0.0833</f>
        <v>160378.93</v>
      </c>
      <c r="M9" s="525">
        <f>D9*0.0833</f>
        <v>160378.93</v>
      </c>
      <c r="N9" s="525">
        <f>D9*0.0833</f>
        <v>160378.93</v>
      </c>
      <c r="O9" s="526">
        <f>D9*0.0833</f>
        <v>160378.93</v>
      </c>
      <c r="P9" s="527">
        <f>D9*0.0837-0.04</f>
        <v>161149.01</v>
      </c>
    </row>
    <row r="10" spans="1:16" ht="15.75" customHeight="1">
      <c r="A10" s="834"/>
      <c r="B10" s="841"/>
      <c r="C10" s="127"/>
      <c r="D10" s="520"/>
      <c r="E10" s="515"/>
      <c r="F10" s="128"/>
      <c r="G10" s="128"/>
      <c r="H10" s="129"/>
      <c r="I10" s="129"/>
      <c r="J10" s="129"/>
      <c r="K10" s="129"/>
      <c r="L10" s="129"/>
      <c r="M10" s="129"/>
      <c r="N10" s="129"/>
      <c r="O10" s="512"/>
      <c r="P10" s="130"/>
    </row>
    <row r="11" spans="1:16" ht="15.75" thickBot="1">
      <c r="A11" s="835"/>
      <c r="B11" s="842"/>
      <c r="C11" s="504" t="s">
        <v>223</v>
      </c>
      <c r="D11" s="521"/>
      <c r="E11" s="516">
        <v>0.0833</v>
      </c>
      <c r="F11" s="505">
        <v>0.0833</v>
      </c>
      <c r="G11" s="505">
        <v>0.0833</v>
      </c>
      <c r="H11" s="505">
        <v>0.0833</v>
      </c>
      <c r="I11" s="505">
        <v>0.0833</v>
      </c>
      <c r="J11" s="505">
        <v>0.0833</v>
      </c>
      <c r="K11" s="505">
        <v>0.0833</v>
      </c>
      <c r="L11" s="505">
        <v>0.0833</v>
      </c>
      <c r="M11" s="505">
        <v>0.0833</v>
      </c>
      <c r="N11" s="505">
        <v>0.0833</v>
      </c>
      <c r="O11" s="513">
        <v>0.0833</v>
      </c>
      <c r="P11" s="506">
        <f>(100%-91.63%)</f>
        <v>0.0837</v>
      </c>
    </row>
    <row r="12" spans="1:16" ht="15" customHeight="1">
      <c r="A12" s="833">
        <v>3</v>
      </c>
      <c r="B12" s="836" t="str">
        <f>Resumo!B13</f>
        <v>BONIFICAÇÃO SOBRE FORNECIMENTO DE MATERIAL BETUMINOSO</v>
      </c>
      <c r="C12" s="503" t="s">
        <v>222</v>
      </c>
      <c r="D12" s="519">
        <f>Resumo!C13</f>
        <v>294188.47</v>
      </c>
      <c r="E12" s="525">
        <f>D12*0.0833</f>
        <v>24505.9</v>
      </c>
      <c r="F12" s="525">
        <f>D12*0.0833</f>
        <v>24505.9</v>
      </c>
      <c r="G12" s="525">
        <f>D12*0.0833</f>
        <v>24505.9</v>
      </c>
      <c r="H12" s="525">
        <f>D12*0.0833</f>
        <v>24505.9</v>
      </c>
      <c r="I12" s="525">
        <f>D12*0.0833</f>
        <v>24505.9</v>
      </c>
      <c r="J12" s="525">
        <f>D12*0.0833</f>
        <v>24505.9</v>
      </c>
      <c r="K12" s="525">
        <f>D12*0.0833</f>
        <v>24505.9</v>
      </c>
      <c r="L12" s="525">
        <f>D12*0.0833</f>
        <v>24505.9</v>
      </c>
      <c r="M12" s="525">
        <f>D12*0.0833</f>
        <v>24505.9</v>
      </c>
      <c r="N12" s="525">
        <f>D12*0.0833</f>
        <v>24505.9</v>
      </c>
      <c r="O12" s="526">
        <f>D12*0.0833</f>
        <v>24505.9</v>
      </c>
      <c r="P12" s="527">
        <f>D12*0.0837</f>
        <v>24623.57</v>
      </c>
    </row>
    <row r="13" spans="1:16" ht="15">
      <c r="A13" s="834"/>
      <c r="B13" s="837"/>
      <c r="C13" s="127"/>
      <c r="D13" s="520"/>
      <c r="E13" s="515"/>
      <c r="F13" s="128"/>
      <c r="G13" s="128"/>
      <c r="H13" s="129"/>
      <c r="I13" s="129"/>
      <c r="J13" s="129"/>
      <c r="K13" s="129"/>
      <c r="L13" s="129"/>
      <c r="M13" s="129"/>
      <c r="N13" s="129"/>
      <c r="O13" s="129"/>
      <c r="P13" s="130"/>
    </row>
    <row r="14" spans="1:16" ht="15" customHeight="1" thickBot="1">
      <c r="A14" s="835"/>
      <c r="B14" s="838"/>
      <c r="C14" s="504" t="s">
        <v>223</v>
      </c>
      <c r="D14" s="521"/>
      <c r="E14" s="516">
        <v>0.0833</v>
      </c>
      <c r="F14" s="505">
        <v>0.0833</v>
      </c>
      <c r="G14" s="505">
        <v>0.0833</v>
      </c>
      <c r="H14" s="505">
        <v>0.0833</v>
      </c>
      <c r="I14" s="505">
        <v>0.0833</v>
      </c>
      <c r="J14" s="505">
        <v>0.0833</v>
      </c>
      <c r="K14" s="505">
        <v>0.0833</v>
      </c>
      <c r="L14" s="505">
        <v>0.0833</v>
      </c>
      <c r="M14" s="505">
        <v>0.0833</v>
      </c>
      <c r="N14" s="505">
        <v>0.0833</v>
      </c>
      <c r="O14" s="505">
        <v>0.0833</v>
      </c>
      <c r="P14" s="506">
        <f>(100%-91.63%)</f>
        <v>0.0837</v>
      </c>
    </row>
    <row r="15" spans="1:16" ht="15">
      <c r="A15" s="833">
        <v>4</v>
      </c>
      <c r="B15" s="843" t="str">
        <f>Resumo!B14</f>
        <v>TRANSPORTE DE MATERIAL BETUMINOSOS</v>
      </c>
      <c r="C15" s="503" t="s">
        <v>222</v>
      </c>
      <c r="D15" s="519">
        <f>Resumo!C14</f>
        <v>1238554.86</v>
      </c>
      <c r="E15" s="525">
        <f>D15*0.0833</f>
        <v>103171.62</v>
      </c>
      <c r="F15" s="525">
        <f>D15*0.0833</f>
        <v>103171.62</v>
      </c>
      <c r="G15" s="525">
        <f>D15*0.0833</f>
        <v>103171.62</v>
      </c>
      <c r="H15" s="525">
        <f>D15*0.0833</f>
        <v>103171.62</v>
      </c>
      <c r="I15" s="525">
        <f>D15*0.0833</f>
        <v>103171.62</v>
      </c>
      <c r="J15" s="525">
        <f>D15*0.0833</f>
        <v>103171.62</v>
      </c>
      <c r="K15" s="525">
        <f>D15*0.0833</f>
        <v>103171.62</v>
      </c>
      <c r="L15" s="525">
        <f>D15*0.0833</f>
        <v>103171.62</v>
      </c>
      <c r="M15" s="525">
        <f>D15*0.0833</f>
        <v>103171.62</v>
      </c>
      <c r="N15" s="525">
        <f>D15*0.0833</f>
        <v>103171.62</v>
      </c>
      <c r="O15" s="526">
        <f>D15*0.0833</f>
        <v>103171.62</v>
      </c>
      <c r="P15" s="527">
        <f>D15*0.0837</f>
        <v>103667.04</v>
      </c>
    </row>
    <row r="16" spans="1:16" ht="15">
      <c r="A16" s="834"/>
      <c r="B16" s="841"/>
      <c r="C16" s="127"/>
      <c r="D16" s="520"/>
      <c r="E16" s="515"/>
      <c r="F16" s="128"/>
      <c r="G16" s="128"/>
      <c r="H16" s="129"/>
      <c r="I16" s="129"/>
      <c r="J16" s="129"/>
      <c r="K16" s="129"/>
      <c r="L16" s="129"/>
      <c r="M16" s="129"/>
      <c r="N16" s="129"/>
      <c r="O16" s="129"/>
      <c r="P16" s="130"/>
    </row>
    <row r="17" spans="1:16" ht="15.75" thickBot="1">
      <c r="A17" s="835"/>
      <c r="B17" s="842"/>
      <c r="C17" s="504" t="s">
        <v>223</v>
      </c>
      <c r="D17" s="521"/>
      <c r="E17" s="516">
        <v>0.0833</v>
      </c>
      <c r="F17" s="505">
        <v>0.0833</v>
      </c>
      <c r="G17" s="505">
        <v>0.0833</v>
      </c>
      <c r="H17" s="505">
        <v>0.0833</v>
      </c>
      <c r="I17" s="505">
        <v>0.0833</v>
      </c>
      <c r="J17" s="505">
        <v>0.0833</v>
      </c>
      <c r="K17" s="505">
        <v>0.0833</v>
      </c>
      <c r="L17" s="505">
        <v>0.0833</v>
      </c>
      <c r="M17" s="505">
        <v>0.0833</v>
      </c>
      <c r="N17" s="505">
        <v>0.0833</v>
      </c>
      <c r="O17" s="505">
        <v>0.0833</v>
      </c>
      <c r="P17" s="506">
        <f>(100%-91.63%)</f>
        <v>0.0837</v>
      </c>
    </row>
    <row r="18" spans="1:16" ht="15">
      <c r="A18" s="833">
        <v>5</v>
      </c>
      <c r="B18" s="836" t="str">
        <f>Resumo!B15</f>
        <v>OBRAS DE DREANGEM E ESGOTO</v>
      </c>
      <c r="C18" s="503" t="s">
        <v>222</v>
      </c>
      <c r="D18" s="519">
        <f>Resumo!C15</f>
        <v>15266358.41</v>
      </c>
      <c r="E18" s="525">
        <f>D18*0.0833</f>
        <v>1271687.66</v>
      </c>
      <c r="F18" s="525">
        <f>D18*0.0833</f>
        <v>1271687.66</v>
      </c>
      <c r="G18" s="525">
        <f>D18*0.0833</f>
        <v>1271687.66</v>
      </c>
      <c r="H18" s="525">
        <f>D18*0.0833</f>
        <v>1271687.66</v>
      </c>
      <c r="I18" s="525">
        <f>D18*0.0833</f>
        <v>1271687.66</v>
      </c>
      <c r="J18" s="525">
        <f>D18*0.0833</f>
        <v>1271687.66</v>
      </c>
      <c r="K18" s="525">
        <f>D18*0.0833</f>
        <v>1271687.66</v>
      </c>
      <c r="L18" s="525">
        <f>D18*0.0833</f>
        <v>1271687.66</v>
      </c>
      <c r="M18" s="525">
        <f>D18*0.0833</f>
        <v>1271687.66</v>
      </c>
      <c r="N18" s="525">
        <f>D18*0.0833</f>
        <v>1271687.66</v>
      </c>
      <c r="O18" s="526">
        <f>D18*0.0833</f>
        <v>1271687.66</v>
      </c>
      <c r="P18" s="527">
        <f>D18*0.0837-0.05</f>
        <v>1277794.15</v>
      </c>
    </row>
    <row r="19" spans="1:16" ht="15">
      <c r="A19" s="834"/>
      <c r="B19" s="841"/>
      <c r="C19" s="127"/>
      <c r="D19" s="520"/>
      <c r="E19" s="515"/>
      <c r="F19" s="128"/>
      <c r="G19" s="128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ht="15.75" thickBot="1">
      <c r="A20" s="835"/>
      <c r="B20" s="842"/>
      <c r="C20" s="504" t="s">
        <v>223</v>
      </c>
      <c r="D20" s="521"/>
      <c r="E20" s="516">
        <v>0.0833</v>
      </c>
      <c r="F20" s="505">
        <v>0.0833</v>
      </c>
      <c r="G20" s="505">
        <v>0.0833</v>
      </c>
      <c r="H20" s="505">
        <v>0.0833</v>
      </c>
      <c r="I20" s="505">
        <v>0.0833</v>
      </c>
      <c r="J20" s="505">
        <v>0.0833</v>
      </c>
      <c r="K20" s="505">
        <v>0.0833</v>
      </c>
      <c r="L20" s="505">
        <v>0.0833</v>
      </c>
      <c r="M20" s="505">
        <v>0.0833</v>
      </c>
      <c r="N20" s="505">
        <v>0.0833</v>
      </c>
      <c r="O20" s="505">
        <v>0.0833</v>
      </c>
      <c r="P20" s="506">
        <f>(100%-91.63%)</f>
        <v>0.0837</v>
      </c>
    </row>
    <row r="21" spans="1:16" ht="15">
      <c r="A21" s="833">
        <v>6</v>
      </c>
      <c r="B21" s="843" t="str">
        <f>Resumo!B16</f>
        <v>SINALIZAÇÃO</v>
      </c>
      <c r="C21" s="503" t="s">
        <v>222</v>
      </c>
      <c r="D21" s="519">
        <f>Resumo!C16</f>
        <v>1213968</v>
      </c>
      <c r="E21" s="525">
        <f>D21*0.0833</f>
        <v>101123.53</v>
      </c>
      <c r="F21" s="525">
        <f>D21*0.0833</f>
        <v>101123.53</v>
      </c>
      <c r="G21" s="525">
        <f>D21*0.0833</f>
        <v>101123.53</v>
      </c>
      <c r="H21" s="525">
        <f>D21*0.0833</f>
        <v>101123.53</v>
      </c>
      <c r="I21" s="525">
        <f>D21*0.0833</f>
        <v>101123.53</v>
      </c>
      <c r="J21" s="525">
        <f>D21*0.0833</f>
        <v>101123.53</v>
      </c>
      <c r="K21" s="525">
        <f>D21*0.0833</f>
        <v>101123.53</v>
      </c>
      <c r="L21" s="525">
        <f>D21*0.0833</f>
        <v>101123.53</v>
      </c>
      <c r="M21" s="525">
        <f>D21*0.0833</f>
        <v>101123.53</v>
      </c>
      <c r="N21" s="525">
        <f>D21*0.0833</f>
        <v>101123.53</v>
      </c>
      <c r="O21" s="526">
        <f>D21*0.0833</f>
        <v>101123.53</v>
      </c>
      <c r="P21" s="527">
        <f>D21*0.0837+0.05</f>
        <v>101609.17</v>
      </c>
    </row>
    <row r="22" spans="1:16" ht="15">
      <c r="A22" s="834"/>
      <c r="B22" s="841"/>
      <c r="C22" s="127"/>
      <c r="D22" s="520"/>
      <c r="E22" s="515"/>
      <c r="F22" s="128"/>
      <c r="G22" s="128"/>
      <c r="H22" s="129"/>
      <c r="I22" s="129"/>
      <c r="J22" s="129"/>
      <c r="K22" s="129"/>
      <c r="L22" s="129"/>
      <c r="M22" s="129"/>
      <c r="N22" s="129"/>
      <c r="O22" s="129"/>
      <c r="P22" s="130"/>
    </row>
    <row r="23" spans="1:16" ht="15.75" thickBot="1">
      <c r="A23" s="835"/>
      <c r="B23" s="842"/>
      <c r="C23" s="504" t="s">
        <v>223</v>
      </c>
      <c r="D23" s="521"/>
      <c r="E23" s="516">
        <v>0.0833</v>
      </c>
      <c r="F23" s="505">
        <v>0.0833</v>
      </c>
      <c r="G23" s="505">
        <v>0.0833</v>
      </c>
      <c r="H23" s="505">
        <v>0.0833</v>
      </c>
      <c r="I23" s="505">
        <v>0.0833</v>
      </c>
      <c r="J23" s="505">
        <v>0.0833</v>
      </c>
      <c r="K23" s="505">
        <v>0.0833</v>
      </c>
      <c r="L23" s="505">
        <v>0.0833</v>
      </c>
      <c r="M23" s="505">
        <v>0.0833</v>
      </c>
      <c r="N23" s="505">
        <v>0.0833</v>
      </c>
      <c r="O23" s="505">
        <v>0.0833</v>
      </c>
      <c r="P23" s="506">
        <f>(100%-91.63%)</f>
        <v>0.0837</v>
      </c>
    </row>
    <row r="24" spans="1:16" ht="15">
      <c r="A24" s="833">
        <v>7</v>
      </c>
      <c r="B24" s="836" t="str">
        <f>Resumo!B17</f>
        <v>OBRAS COMPLEMENTARES</v>
      </c>
      <c r="C24" s="503" t="s">
        <v>222</v>
      </c>
      <c r="D24" s="519">
        <f>Resumo!C17</f>
        <v>752425</v>
      </c>
      <c r="E24" s="525">
        <f>D24*0.0833</f>
        <v>62677</v>
      </c>
      <c r="F24" s="525">
        <f>D24*0.0833</f>
        <v>62677</v>
      </c>
      <c r="G24" s="525">
        <f>D24*0.0833</f>
        <v>62677</v>
      </c>
      <c r="H24" s="525">
        <f>D24*0.0833</f>
        <v>62677</v>
      </c>
      <c r="I24" s="525">
        <f>D24*0.0833</f>
        <v>62677</v>
      </c>
      <c r="J24" s="525">
        <f>D24*0.0833</f>
        <v>62677</v>
      </c>
      <c r="K24" s="525">
        <f>D24*0.0833</f>
        <v>62677</v>
      </c>
      <c r="L24" s="525">
        <f>D24*0.0833</f>
        <v>62677</v>
      </c>
      <c r="M24" s="525">
        <f>D24*0.0833</f>
        <v>62677</v>
      </c>
      <c r="N24" s="525">
        <f>D24*0.0833</f>
        <v>62677</v>
      </c>
      <c r="O24" s="526">
        <f>D24*0.0833</f>
        <v>62677</v>
      </c>
      <c r="P24" s="527">
        <f>D24*0.0837+0.03</f>
        <v>62978</v>
      </c>
    </row>
    <row r="25" spans="1:16" ht="15">
      <c r="A25" s="834"/>
      <c r="B25" s="837"/>
      <c r="C25" s="127"/>
      <c r="D25" s="520"/>
      <c r="E25" s="515"/>
      <c r="F25" s="128"/>
      <c r="G25" s="128"/>
      <c r="H25" s="129"/>
      <c r="I25" s="129"/>
      <c r="J25" s="129"/>
      <c r="K25" s="129"/>
      <c r="L25" s="129"/>
      <c r="M25" s="129"/>
      <c r="N25" s="129"/>
      <c r="O25" s="129"/>
      <c r="P25" s="130"/>
    </row>
    <row r="26" spans="1:16" ht="15.75" thickBot="1">
      <c r="A26" s="835"/>
      <c r="B26" s="838"/>
      <c r="C26" s="504" t="s">
        <v>223</v>
      </c>
      <c r="D26" s="521"/>
      <c r="E26" s="516">
        <v>0.0833</v>
      </c>
      <c r="F26" s="505">
        <v>0.0833</v>
      </c>
      <c r="G26" s="505">
        <v>0.0833</v>
      </c>
      <c r="H26" s="505">
        <v>0.0833</v>
      </c>
      <c r="I26" s="505">
        <v>0.0833</v>
      </c>
      <c r="J26" s="505">
        <v>0.0833</v>
      </c>
      <c r="K26" s="505">
        <v>0.0833</v>
      </c>
      <c r="L26" s="505">
        <v>0.0833</v>
      </c>
      <c r="M26" s="505">
        <v>0.0833</v>
      </c>
      <c r="N26" s="505">
        <v>0.0833</v>
      </c>
      <c r="O26" s="505">
        <v>0.0833</v>
      </c>
      <c r="P26" s="506">
        <f>(100%-91.63%)</f>
        <v>0.0837</v>
      </c>
    </row>
    <row r="27" spans="1:16" ht="15">
      <c r="A27" s="833">
        <v>8</v>
      </c>
      <c r="B27" s="843" t="str">
        <f>Resumo!B18</f>
        <v>REMOÇÕES, BOTA-FORA E TRANSPORTES</v>
      </c>
      <c r="C27" s="503" t="s">
        <v>222</v>
      </c>
      <c r="D27" s="519">
        <f>Resumo!C18</f>
        <v>1508000</v>
      </c>
      <c r="E27" s="525">
        <f>D27*0.0833</f>
        <v>125616.4</v>
      </c>
      <c r="F27" s="525">
        <f>D27*0.0833</f>
        <v>125616.4</v>
      </c>
      <c r="G27" s="525">
        <f>D27*0.0833</f>
        <v>125616.4</v>
      </c>
      <c r="H27" s="525">
        <f>D27*0.0833</f>
        <v>125616.4</v>
      </c>
      <c r="I27" s="525">
        <f>D27*0.0833</f>
        <v>125616.4</v>
      </c>
      <c r="J27" s="525">
        <f>D27*0.0833</f>
        <v>125616.4</v>
      </c>
      <c r="K27" s="525">
        <f>D27*0.0833</f>
        <v>125616.4</v>
      </c>
      <c r="L27" s="525">
        <f>D27*0.0833</f>
        <v>125616.4</v>
      </c>
      <c r="M27" s="525">
        <f>D27*0.0833</f>
        <v>125616.4</v>
      </c>
      <c r="N27" s="525">
        <f>D27*0.0833</f>
        <v>125616.4</v>
      </c>
      <c r="O27" s="526">
        <f>D27*0.0833</f>
        <v>125616.4</v>
      </c>
      <c r="P27" s="527">
        <f>D27*0.0837</f>
        <v>126219.6</v>
      </c>
    </row>
    <row r="28" spans="1:16" ht="15">
      <c r="A28" s="834"/>
      <c r="B28" s="841"/>
      <c r="C28" s="127"/>
      <c r="D28" s="520"/>
      <c r="E28" s="515"/>
      <c r="F28" s="128"/>
      <c r="G28" s="128"/>
      <c r="H28" s="129"/>
      <c r="I28" s="129"/>
      <c r="J28" s="129"/>
      <c r="K28" s="129"/>
      <c r="L28" s="129"/>
      <c r="M28" s="129"/>
      <c r="N28" s="129"/>
      <c r="O28" s="129"/>
      <c r="P28" s="130"/>
    </row>
    <row r="29" spans="1:16" ht="15.75" thickBot="1">
      <c r="A29" s="835"/>
      <c r="B29" s="842"/>
      <c r="C29" s="504" t="s">
        <v>223</v>
      </c>
      <c r="D29" s="521"/>
      <c r="E29" s="516">
        <v>0.0833</v>
      </c>
      <c r="F29" s="505">
        <v>0.0833</v>
      </c>
      <c r="G29" s="505">
        <v>0.0833</v>
      </c>
      <c r="H29" s="505">
        <v>0.0833</v>
      </c>
      <c r="I29" s="505">
        <v>0.0833</v>
      </c>
      <c r="J29" s="505">
        <v>0.0833</v>
      </c>
      <c r="K29" s="505">
        <v>0.0833</v>
      </c>
      <c r="L29" s="505">
        <v>0.0833</v>
      </c>
      <c r="M29" s="505">
        <v>0.0833</v>
      </c>
      <c r="N29" s="505">
        <v>0.0833</v>
      </c>
      <c r="O29" s="505">
        <v>0.0833</v>
      </c>
      <c r="P29" s="506">
        <f>(100%-91.63%)</f>
        <v>0.0837</v>
      </c>
    </row>
    <row r="30" spans="1:16" ht="15" customHeight="1">
      <c r="A30" s="833">
        <v>9</v>
      </c>
      <c r="B30" s="836" t="str">
        <f>Resumo!B19</f>
        <v>PAISAGISMO E URBANIZAÇÃO.</v>
      </c>
      <c r="C30" s="503" t="s">
        <v>222</v>
      </c>
      <c r="D30" s="519">
        <f>Resumo!C19</f>
        <v>2440726</v>
      </c>
      <c r="E30" s="525">
        <f>D30*0.0833</f>
        <v>203312.48</v>
      </c>
      <c r="F30" s="525">
        <f>D30*0.0833</f>
        <v>203312.48</v>
      </c>
      <c r="G30" s="525">
        <f>D30*0.0833</f>
        <v>203312.48</v>
      </c>
      <c r="H30" s="525">
        <f>D30*0.0833</f>
        <v>203312.48</v>
      </c>
      <c r="I30" s="525">
        <f>D30*0.0833</f>
        <v>203312.48</v>
      </c>
      <c r="J30" s="525">
        <f>D30*0.0833</f>
        <v>203312.48</v>
      </c>
      <c r="K30" s="525">
        <f>D30*0.0833</f>
        <v>203312.48</v>
      </c>
      <c r="L30" s="525">
        <f>D30*0.0833</f>
        <v>203312.48</v>
      </c>
      <c r="M30" s="525">
        <f>D30*0.0833</f>
        <v>203312.48</v>
      </c>
      <c r="N30" s="525">
        <f>D30*0.0833</f>
        <v>203312.48</v>
      </c>
      <c r="O30" s="526">
        <f>D30*0.0833</f>
        <v>203312.48</v>
      </c>
      <c r="P30" s="527">
        <f>D30*0.0837-0.05</f>
        <v>204288.72</v>
      </c>
    </row>
    <row r="31" spans="1:16" ht="15">
      <c r="A31" s="834"/>
      <c r="B31" s="837"/>
      <c r="C31" s="127"/>
      <c r="D31" s="520"/>
      <c r="E31" s="515"/>
      <c r="F31" s="128"/>
      <c r="G31" s="128"/>
      <c r="H31" s="129"/>
      <c r="I31" s="129"/>
      <c r="J31" s="129"/>
      <c r="K31" s="129"/>
      <c r="L31" s="129"/>
      <c r="M31" s="129"/>
      <c r="N31" s="129"/>
      <c r="O31" s="129"/>
      <c r="P31" s="130"/>
    </row>
    <row r="32" spans="1:16" ht="15" customHeight="1" thickBot="1">
      <c r="A32" s="835"/>
      <c r="B32" s="838"/>
      <c r="C32" s="504" t="s">
        <v>223</v>
      </c>
      <c r="D32" s="521"/>
      <c r="E32" s="516">
        <v>0.0833</v>
      </c>
      <c r="F32" s="505">
        <v>0.0833</v>
      </c>
      <c r="G32" s="505">
        <v>0.0833</v>
      </c>
      <c r="H32" s="505">
        <v>0.0833</v>
      </c>
      <c r="I32" s="505">
        <v>0.0833</v>
      </c>
      <c r="J32" s="505">
        <v>0.0833</v>
      </c>
      <c r="K32" s="505">
        <v>0.0833</v>
      </c>
      <c r="L32" s="505">
        <v>0.0833</v>
      </c>
      <c r="M32" s="505">
        <v>0.0833</v>
      </c>
      <c r="N32" s="505">
        <v>0.0833</v>
      </c>
      <c r="O32" s="505">
        <v>0.0833</v>
      </c>
      <c r="P32" s="506">
        <f>(100%-91.63%)</f>
        <v>0.0837</v>
      </c>
    </row>
    <row r="33" spans="1:16" ht="15" customHeight="1">
      <c r="A33" s="833">
        <v>10</v>
      </c>
      <c r="B33" s="836" t="str">
        <f>Resumo!B20</f>
        <v> TRANSPORTE DE MATERIAIS</v>
      </c>
      <c r="C33" s="507" t="s">
        <v>431</v>
      </c>
      <c r="D33" s="523">
        <f>Resumo!C20</f>
        <v>1596300</v>
      </c>
      <c r="E33" s="525">
        <f>D33*0.0833</f>
        <v>132971.79</v>
      </c>
      <c r="F33" s="525">
        <f>D33*0.0833</f>
        <v>132971.79</v>
      </c>
      <c r="G33" s="525">
        <f>D33*0.0833</f>
        <v>132971.79</v>
      </c>
      <c r="H33" s="525">
        <f>D33*0.0833</f>
        <v>132971.79</v>
      </c>
      <c r="I33" s="525">
        <f>D33*0.0833</f>
        <v>132971.79</v>
      </c>
      <c r="J33" s="525">
        <f>D33*0.0833</f>
        <v>132971.79</v>
      </c>
      <c r="K33" s="525">
        <f>D33*0.0833</f>
        <v>132971.79</v>
      </c>
      <c r="L33" s="525">
        <f>D33*0.0833</f>
        <v>132971.79</v>
      </c>
      <c r="M33" s="525">
        <f>D33*0.0833</f>
        <v>132971.79</v>
      </c>
      <c r="N33" s="525">
        <f>D33*0.0833</f>
        <v>132971.79</v>
      </c>
      <c r="O33" s="526">
        <f>D33*0.0833</f>
        <v>132971.79</v>
      </c>
      <c r="P33" s="527">
        <f>D33*0.0837</f>
        <v>133610.31</v>
      </c>
    </row>
    <row r="34" spans="1:16" ht="15" customHeight="1">
      <c r="A34" s="834"/>
      <c r="B34" s="837"/>
      <c r="C34" s="127"/>
      <c r="D34" s="520"/>
      <c r="E34" s="515"/>
      <c r="F34" s="128"/>
      <c r="G34" s="128"/>
      <c r="H34" s="129"/>
      <c r="I34" s="129"/>
      <c r="J34" s="129"/>
      <c r="K34" s="129"/>
      <c r="L34" s="129"/>
      <c r="M34" s="129"/>
      <c r="N34" s="129"/>
      <c r="O34" s="129"/>
      <c r="P34" s="130"/>
    </row>
    <row r="35" spans="1:16" ht="15" customHeight="1" thickBot="1">
      <c r="A35" s="835"/>
      <c r="B35" s="838"/>
      <c r="C35" s="508" t="s">
        <v>432</v>
      </c>
      <c r="D35" s="521"/>
      <c r="E35" s="516">
        <v>0.0833</v>
      </c>
      <c r="F35" s="505">
        <v>0.0833</v>
      </c>
      <c r="G35" s="505">
        <v>0.0833</v>
      </c>
      <c r="H35" s="505">
        <v>0.0833</v>
      </c>
      <c r="I35" s="505">
        <v>0.0833</v>
      </c>
      <c r="J35" s="505">
        <v>0.0833</v>
      </c>
      <c r="K35" s="505">
        <v>0.0833</v>
      </c>
      <c r="L35" s="505">
        <v>0.0833</v>
      </c>
      <c r="M35" s="505">
        <v>0.0833</v>
      </c>
      <c r="N35" s="505">
        <v>0.0833</v>
      </c>
      <c r="O35" s="505">
        <v>0.0833</v>
      </c>
      <c r="P35" s="506">
        <f>(100%-91.63%)</f>
        <v>0.0837</v>
      </c>
    </row>
    <row r="36" spans="1:16" ht="15">
      <c r="A36" s="833">
        <v>11</v>
      </c>
      <c r="B36" s="836" t="str">
        <f>Resumo!B21</f>
        <v>CANTEIRO, MOBILIZAÇÕES E DESMOBILIZAÇÕES</v>
      </c>
      <c r="C36" s="503" t="s">
        <v>222</v>
      </c>
      <c r="D36" s="519">
        <f>Resumo!C21</f>
        <v>537215.38</v>
      </c>
      <c r="E36" s="525">
        <f>D36*0.0833</f>
        <v>44750.04</v>
      </c>
      <c r="F36" s="525">
        <f>D36*0.0833</f>
        <v>44750.04</v>
      </c>
      <c r="G36" s="525">
        <f>D36*0.0833</f>
        <v>44750.04</v>
      </c>
      <c r="H36" s="525">
        <f>D36*0.0833</f>
        <v>44750.04</v>
      </c>
      <c r="I36" s="525">
        <f>D36*0.0833</f>
        <v>44750.04</v>
      </c>
      <c r="J36" s="525">
        <f>D36*0.0833</f>
        <v>44750.04</v>
      </c>
      <c r="K36" s="525">
        <f>D36*0.0833</f>
        <v>44750.04</v>
      </c>
      <c r="L36" s="525">
        <f>D36*0.0833</f>
        <v>44750.04</v>
      </c>
      <c r="M36" s="525">
        <f>D36*0.0833</f>
        <v>44750.04</v>
      </c>
      <c r="N36" s="525">
        <f>D36*0.0833</f>
        <v>44750.04</v>
      </c>
      <c r="O36" s="526">
        <f>D36*0.0833</f>
        <v>44750.04</v>
      </c>
      <c r="P36" s="527">
        <f>D36*0.0837+0.01</f>
        <v>44964.94</v>
      </c>
    </row>
    <row r="37" spans="1:16" ht="15">
      <c r="A37" s="834"/>
      <c r="B37" s="837"/>
      <c r="C37" s="127"/>
      <c r="D37" s="520"/>
      <c r="E37" s="515"/>
      <c r="F37" s="128"/>
      <c r="G37" s="128"/>
      <c r="H37" s="129"/>
      <c r="I37" s="129"/>
      <c r="J37" s="129"/>
      <c r="K37" s="129"/>
      <c r="L37" s="129"/>
      <c r="M37" s="129"/>
      <c r="N37" s="129"/>
      <c r="O37" s="129"/>
      <c r="P37" s="130"/>
    </row>
    <row r="38" spans="1:16" ht="15.75" thickBot="1">
      <c r="A38" s="835"/>
      <c r="B38" s="838"/>
      <c r="C38" s="504" t="s">
        <v>223</v>
      </c>
      <c r="D38" s="521"/>
      <c r="E38" s="516">
        <v>0.0833</v>
      </c>
      <c r="F38" s="505">
        <v>0.0833</v>
      </c>
      <c r="G38" s="505">
        <v>0.0833</v>
      </c>
      <c r="H38" s="505">
        <v>0.0833</v>
      </c>
      <c r="I38" s="505">
        <v>0.0833</v>
      </c>
      <c r="J38" s="505">
        <v>0.0833</v>
      </c>
      <c r="K38" s="505">
        <v>0.0833</v>
      </c>
      <c r="L38" s="505">
        <v>0.0833</v>
      </c>
      <c r="M38" s="505">
        <v>0.0833</v>
      </c>
      <c r="N38" s="505">
        <v>0.0833</v>
      </c>
      <c r="O38" s="505">
        <v>0.0833</v>
      </c>
      <c r="P38" s="506">
        <f>(100%-91.63%)</f>
        <v>0.0837</v>
      </c>
    </row>
    <row r="39" spans="1:16" ht="15">
      <c r="A39" s="833">
        <v>12</v>
      </c>
      <c r="B39" s="836" t="str">
        <f>Resumo!B22</f>
        <v>ADMINISTRAÇÃO LOCAL</v>
      </c>
      <c r="C39" s="503" t="s">
        <v>222</v>
      </c>
      <c r="D39" s="519">
        <f>Resumo!C22</f>
        <v>1736778</v>
      </c>
      <c r="E39" s="525">
        <f>D39*0.0833</f>
        <v>144673.61</v>
      </c>
      <c r="F39" s="525">
        <f>D39*0.0833</f>
        <v>144673.61</v>
      </c>
      <c r="G39" s="525">
        <f>D39*0.0833</f>
        <v>144673.61</v>
      </c>
      <c r="H39" s="525">
        <f>D39*0.0833</f>
        <v>144673.61</v>
      </c>
      <c r="I39" s="525">
        <f>D39*0.0833</f>
        <v>144673.61</v>
      </c>
      <c r="J39" s="525">
        <f>D39*0.0833</f>
        <v>144673.61</v>
      </c>
      <c r="K39" s="525">
        <f>D39*0.0833</f>
        <v>144673.61</v>
      </c>
      <c r="L39" s="525">
        <f>D39*0.0833</f>
        <v>144673.61</v>
      </c>
      <c r="M39" s="525">
        <f>D39*0.0833</f>
        <v>144673.61</v>
      </c>
      <c r="N39" s="525">
        <f>D39*0.0833</f>
        <v>144673.61</v>
      </c>
      <c r="O39" s="526">
        <f>D39*0.0833</f>
        <v>144673.61</v>
      </c>
      <c r="P39" s="527">
        <f>D39*0.0837-0.03</f>
        <v>145368.29</v>
      </c>
    </row>
    <row r="40" spans="1:16" ht="15.75" thickBot="1">
      <c r="A40" s="834"/>
      <c r="B40" s="837"/>
      <c r="C40" s="127"/>
      <c r="D40" s="520"/>
      <c r="E40" s="531"/>
      <c r="F40" s="532"/>
      <c r="G40" s="532"/>
      <c r="H40" s="533"/>
      <c r="I40" s="533"/>
      <c r="J40" s="533"/>
      <c r="K40" s="533"/>
      <c r="L40" s="533"/>
      <c r="M40" s="533"/>
      <c r="N40" s="533"/>
      <c r="O40" s="533"/>
      <c r="P40" s="534"/>
    </row>
    <row r="41" spans="1:16" ht="15.75" thickBot="1">
      <c r="A41" s="835"/>
      <c r="B41" s="838"/>
      <c r="C41" s="504" t="s">
        <v>223</v>
      </c>
      <c r="D41" s="521"/>
      <c r="E41" s="535">
        <v>0.0833</v>
      </c>
      <c r="F41" s="536">
        <v>0.0833</v>
      </c>
      <c r="G41" s="536">
        <v>0.0833</v>
      </c>
      <c r="H41" s="536">
        <v>0.0833</v>
      </c>
      <c r="I41" s="536">
        <v>0.0833</v>
      </c>
      <c r="J41" s="536">
        <v>0.0833</v>
      </c>
      <c r="K41" s="536">
        <v>0.0833</v>
      </c>
      <c r="L41" s="536">
        <v>0.0833</v>
      </c>
      <c r="M41" s="536">
        <v>0.0833</v>
      </c>
      <c r="N41" s="536">
        <v>0.0833</v>
      </c>
      <c r="O41" s="536">
        <v>0.0833</v>
      </c>
      <c r="P41" s="537">
        <f>(100%-91.63%)</f>
        <v>0.0837</v>
      </c>
    </row>
    <row r="42" spans="1:16" ht="5.25" customHeight="1">
      <c r="A42" s="498"/>
      <c r="B42" s="499"/>
      <c r="C42" s="500"/>
      <c r="D42" s="524"/>
      <c r="E42" s="538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2"/>
    </row>
    <row r="43" spans="1:16" ht="15">
      <c r="A43" s="416"/>
      <c r="B43" s="131" t="s">
        <v>224</v>
      </c>
      <c r="C43" s="127"/>
      <c r="D43" s="546">
        <f>SUM(D6:D41)</f>
        <v>39605430.36</v>
      </c>
      <c r="E43" s="53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0"/>
    </row>
    <row r="44" spans="1:16" ht="5.25" customHeight="1">
      <c r="A44" s="416"/>
      <c r="B44" s="417"/>
      <c r="C44" s="127"/>
      <c r="D44" s="520"/>
      <c r="E44" s="53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30"/>
    </row>
    <row r="45" spans="1:16" ht="15">
      <c r="A45" s="826" t="s">
        <v>225</v>
      </c>
      <c r="B45" s="827"/>
      <c r="C45" s="827"/>
      <c r="D45" s="828"/>
      <c r="E45" s="540">
        <f>E39+E36+E33+E30+E27+E24+E21+E18+E15+E12+E9+E6</f>
        <v>3299132.36</v>
      </c>
      <c r="F45" s="528">
        <f aca="true" t="shared" si="0" ref="F45:O45">F39+F36+F33+F30+F27+F24+F21+F18+F15+F12+F9+F6</f>
        <v>3299132.36</v>
      </c>
      <c r="G45" s="528">
        <f t="shared" si="0"/>
        <v>3299132.36</v>
      </c>
      <c r="H45" s="528">
        <f t="shared" si="0"/>
        <v>3299132.36</v>
      </c>
      <c r="I45" s="528">
        <f t="shared" si="0"/>
        <v>3299132.36</v>
      </c>
      <c r="J45" s="528">
        <f t="shared" si="0"/>
        <v>3299132.36</v>
      </c>
      <c r="K45" s="528">
        <f t="shared" si="0"/>
        <v>3299132.36</v>
      </c>
      <c r="L45" s="528">
        <f t="shared" si="0"/>
        <v>3299132.36</v>
      </c>
      <c r="M45" s="528">
        <f t="shared" si="0"/>
        <v>3299132.36</v>
      </c>
      <c r="N45" s="528">
        <f t="shared" si="0"/>
        <v>3299132.36</v>
      </c>
      <c r="O45" s="528">
        <f t="shared" si="0"/>
        <v>3299132.36</v>
      </c>
      <c r="P45" s="541">
        <f>P39+P36+P33+P30+P27+P24+P21+P18+P15+P12+P9+P6</f>
        <v>3314974.4</v>
      </c>
    </row>
    <row r="46" spans="1:16" ht="15">
      <c r="A46" s="829" t="s">
        <v>226</v>
      </c>
      <c r="B46" s="827"/>
      <c r="C46" s="827"/>
      <c r="D46" s="828"/>
      <c r="E46" s="540">
        <f>E45</f>
        <v>3299132.36</v>
      </c>
      <c r="F46" s="543">
        <f>F45+E46</f>
        <v>6598264.72</v>
      </c>
      <c r="G46" s="543">
        <f aca="true" t="shared" si="1" ref="G46:O46">G45+F46</f>
        <v>9897397.08</v>
      </c>
      <c r="H46" s="543">
        <f t="shared" si="1"/>
        <v>13196529.44</v>
      </c>
      <c r="I46" s="543">
        <f t="shared" si="1"/>
        <v>16495661.8</v>
      </c>
      <c r="J46" s="543">
        <f t="shared" si="1"/>
        <v>19794794.16</v>
      </c>
      <c r="K46" s="544">
        <f t="shared" si="1"/>
        <v>23093926.52</v>
      </c>
      <c r="L46" s="544">
        <f t="shared" si="1"/>
        <v>26393058.88</v>
      </c>
      <c r="M46" s="544">
        <f t="shared" si="1"/>
        <v>29692191.24</v>
      </c>
      <c r="N46" s="544">
        <f t="shared" si="1"/>
        <v>32991323.6</v>
      </c>
      <c r="O46" s="544">
        <f t="shared" si="1"/>
        <v>36290455.96</v>
      </c>
      <c r="P46" s="545">
        <f>P45+O46</f>
        <v>39605430.36</v>
      </c>
    </row>
    <row r="47" spans="1:16" ht="15">
      <c r="A47" s="829" t="s">
        <v>227</v>
      </c>
      <c r="B47" s="827"/>
      <c r="C47" s="827"/>
      <c r="D47" s="828"/>
      <c r="E47" s="539">
        <f>E45/$D$43</f>
        <v>0.0833</v>
      </c>
      <c r="F47" s="129">
        <f aca="true" t="shared" si="2" ref="F47:P47">F45/$D$43</f>
        <v>0.0833</v>
      </c>
      <c r="G47" s="129">
        <f t="shared" si="2"/>
        <v>0.0833</v>
      </c>
      <c r="H47" s="129">
        <f t="shared" si="2"/>
        <v>0.0833</v>
      </c>
      <c r="I47" s="129">
        <f t="shared" si="2"/>
        <v>0.0833</v>
      </c>
      <c r="J47" s="129">
        <f t="shared" si="2"/>
        <v>0.0833</v>
      </c>
      <c r="K47" s="129">
        <f t="shared" si="2"/>
        <v>0.0833</v>
      </c>
      <c r="L47" s="129">
        <f t="shared" si="2"/>
        <v>0.0833</v>
      </c>
      <c r="M47" s="129">
        <f t="shared" si="2"/>
        <v>0.0833</v>
      </c>
      <c r="N47" s="129">
        <f t="shared" si="2"/>
        <v>0.0833</v>
      </c>
      <c r="O47" s="129">
        <f t="shared" si="2"/>
        <v>0.0833</v>
      </c>
      <c r="P47" s="130">
        <f t="shared" si="2"/>
        <v>0.0837</v>
      </c>
    </row>
    <row r="48" spans="1:16" ht="15.75" thickBot="1">
      <c r="A48" s="830" t="s">
        <v>228</v>
      </c>
      <c r="B48" s="831"/>
      <c r="C48" s="831"/>
      <c r="D48" s="832"/>
      <c r="E48" s="542">
        <f>E47</f>
        <v>0.0833</v>
      </c>
      <c r="F48" s="529">
        <f>F47+E48</f>
        <v>0.1666</v>
      </c>
      <c r="G48" s="529">
        <f>G47+F48</f>
        <v>0.2499</v>
      </c>
      <c r="H48" s="529">
        <f>H47+G48</f>
        <v>0.3332</v>
      </c>
      <c r="I48" s="529">
        <f aca="true" t="shared" si="3" ref="I48:P48">I47+H48</f>
        <v>0.4165</v>
      </c>
      <c r="J48" s="529">
        <f t="shared" si="3"/>
        <v>0.4998</v>
      </c>
      <c r="K48" s="529">
        <f t="shared" si="3"/>
        <v>0.5831</v>
      </c>
      <c r="L48" s="529">
        <f t="shared" si="3"/>
        <v>0.6664</v>
      </c>
      <c r="M48" s="529">
        <f t="shared" si="3"/>
        <v>0.7497</v>
      </c>
      <c r="N48" s="529">
        <f t="shared" si="3"/>
        <v>0.833</v>
      </c>
      <c r="O48" s="529">
        <f t="shared" si="3"/>
        <v>0.9163</v>
      </c>
      <c r="P48" s="530">
        <f t="shared" si="3"/>
        <v>1</v>
      </c>
    </row>
    <row r="49" spans="1:7" ht="15">
      <c r="A49" s="823"/>
      <c r="B49" s="823"/>
      <c r="C49" s="823"/>
      <c r="D49" s="132"/>
      <c r="E49" s="133"/>
      <c r="F49" s="133"/>
      <c r="G49" s="133"/>
    </row>
    <row r="50" spans="1:7" ht="15">
      <c r="A50" s="823"/>
      <c r="B50" s="823"/>
      <c r="C50" s="823"/>
      <c r="D50" s="135"/>
      <c r="E50" s="824"/>
      <c r="F50" s="824"/>
      <c r="G50" s="824"/>
    </row>
    <row r="51" spans="1:7" ht="15">
      <c r="A51" s="823"/>
      <c r="B51" s="823"/>
      <c r="C51" s="823"/>
      <c r="D51" s="136"/>
      <c r="E51" s="824"/>
      <c r="F51" s="824"/>
      <c r="G51" s="824"/>
    </row>
    <row r="52" spans="1:7" ht="15">
      <c r="A52" s="823"/>
      <c r="B52" s="823"/>
      <c r="C52" s="823"/>
      <c r="D52" s="137"/>
      <c r="E52" s="825"/>
      <c r="F52" s="825"/>
      <c r="G52" s="825"/>
    </row>
  </sheetData>
  <sheetProtection/>
  <mergeCells count="36">
    <mergeCell ref="A27:A29"/>
    <mergeCell ref="B27:B29"/>
    <mergeCell ref="A18:A20"/>
    <mergeCell ref="B18:B20"/>
    <mergeCell ref="A21:A23"/>
    <mergeCell ref="B21:B23"/>
    <mergeCell ref="A24:A26"/>
    <mergeCell ref="B24:B26"/>
    <mergeCell ref="A1:P1"/>
    <mergeCell ref="A2:P2"/>
    <mergeCell ref="A3:P3"/>
    <mergeCell ref="A4:P4"/>
    <mergeCell ref="C5:D5"/>
    <mergeCell ref="A6:A8"/>
    <mergeCell ref="B6:B8"/>
    <mergeCell ref="A9:A11"/>
    <mergeCell ref="B9:B11"/>
    <mergeCell ref="A12:A14"/>
    <mergeCell ref="B12:B14"/>
    <mergeCell ref="A15:A17"/>
    <mergeCell ref="B15:B17"/>
    <mergeCell ref="A30:A32"/>
    <mergeCell ref="B30:B32"/>
    <mergeCell ref="A36:A38"/>
    <mergeCell ref="B36:B38"/>
    <mergeCell ref="A39:A41"/>
    <mergeCell ref="B39:B41"/>
    <mergeCell ref="A33:A35"/>
    <mergeCell ref="B33:B35"/>
    <mergeCell ref="A49:C52"/>
    <mergeCell ref="E50:G51"/>
    <mergeCell ref="E52:G52"/>
    <mergeCell ref="A45:D45"/>
    <mergeCell ref="A46:D46"/>
    <mergeCell ref="A47:D47"/>
    <mergeCell ref="A48:D48"/>
  </mergeCells>
  <printOptions verticalCentered="1"/>
  <pageMargins left="0.5905511811023623" right="0.1968503937007874" top="0.3937007874015748" bottom="0" header="0.11811023622047245" footer="0"/>
  <pageSetup fitToHeight="1" fitToWidth="1" horizontalDpi="1200" verticalDpi="1200" orientation="landscape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SheetLayoutView="100" zoomScalePageLayoutView="0" workbookViewId="0" topLeftCell="A19">
      <selection activeCell="N1" sqref="N1"/>
    </sheetView>
  </sheetViews>
  <sheetFormatPr defaultColWidth="9.140625" defaultRowHeight="12.75"/>
  <cols>
    <col min="1" max="2" width="9.140625" style="126" customWidth="1"/>
    <col min="3" max="3" width="30.7109375" style="126" customWidth="1"/>
    <col min="4" max="4" width="24.7109375" style="126" customWidth="1"/>
    <col min="5" max="16384" width="9.140625" style="126" customWidth="1"/>
  </cols>
  <sheetData>
    <row r="1" spans="1:6" ht="106.5" customHeight="1">
      <c r="A1" s="867" t="s">
        <v>430</v>
      </c>
      <c r="B1" s="868"/>
      <c r="C1" s="868"/>
      <c r="D1" s="868"/>
      <c r="E1" s="868"/>
      <c r="F1" s="869"/>
    </row>
    <row r="2" spans="1:6" ht="18.75">
      <c r="A2" s="858" t="s">
        <v>236</v>
      </c>
      <c r="B2" s="859"/>
      <c r="C2" s="859"/>
      <c r="D2" s="859"/>
      <c r="E2" s="859"/>
      <c r="F2" s="860"/>
    </row>
    <row r="3" spans="1:6" ht="18.75">
      <c r="A3" s="145"/>
      <c r="B3" s="146"/>
      <c r="C3" s="146"/>
      <c r="D3" s="146"/>
      <c r="E3" s="146"/>
      <c r="F3" s="147"/>
    </row>
    <row r="4" spans="1:6" ht="15">
      <c r="A4" s="148"/>
      <c r="B4" s="149"/>
      <c r="C4" s="149"/>
      <c r="D4" s="149"/>
      <c r="E4" s="149"/>
      <c r="F4" s="150"/>
    </row>
    <row r="5" spans="1:6" ht="15">
      <c r="A5" s="148"/>
      <c r="B5" s="149"/>
      <c r="C5" s="149"/>
      <c r="D5" s="151" t="s">
        <v>237</v>
      </c>
      <c r="E5" s="152"/>
      <c r="F5" s="150"/>
    </row>
    <row r="6" spans="1:6" ht="15.75">
      <c r="A6" s="148"/>
      <c r="B6" s="861" t="s">
        <v>238</v>
      </c>
      <c r="C6" s="862"/>
      <c r="D6" s="153"/>
      <c r="E6" s="154"/>
      <c r="F6" s="150"/>
    </row>
    <row r="7" spans="1:6" ht="15.75">
      <c r="A7" s="148"/>
      <c r="B7" s="863" t="s">
        <v>239</v>
      </c>
      <c r="C7" s="864"/>
      <c r="D7" s="155">
        <v>0.0111</v>
      </c>
      <c r="E7" s="156"/>
      <c r="F7" s="150"/>
    </row>
    <row r="8" spans="1:6" ht="15.75">
      <c r="A8" s="148"/>
      <c r="B8" s="865" t="s">
        <v>240</v>
      </c>
      <c r="C8" s="866"/>
      <c r="D8" s="157">
        <f>D7</f>
        <v>0.0111</v>
      </c>
      <c r="E8" s="158"/>
      <c r="F8" s="150"/>
    </row>
    <row r="9" spans="1:6" ht="15.75">
      <c r="A9" s="148"/>
      <c r="B9" s="861" t="s">
        <v>241</v>
      </c>
      <c r="C9" s="862"/>
      <c r="D9" s="153"/>
      <c r="E9" s="154"/>
      <c r="F9" s="150"/>
    </row>
    <row r="10" spans="1:6" ht="15.75">
      <c r="A10" s="148"/>
      <c r="B10" s="863" t="s">
        <v>242</v>
      </c>
      <c r="C10" s="864"/>
      <c r="D10" s="159">
        <v>0.0288</v>
      </c>
      <c r="E10" s="156"/>
      <c r="F10" s="150"/>
    </row>
    <row r="11" spans="1:6" ht="15.75">
      <c r="A11" s="148"/>
      <c r="B11" s="865" t="s">
        <v>243</v>
      </c>
      <c r="C11" s="866"/>
      <c r="D11" s="157">
        <f>D10</f>
        <v>0.0288</v>
      </c>
      <c r="E11" s="158"/>
      <c r="F11" s="150"/>
    </row>
    <row r="12" spans="1:6" ht="15.75">
      <c r="A12" s="148"/>
      <c r="B12" s="861" t="s">
        <v>244</v>
      </c>
      <c r="C12" s="862"/>
      <c r="D12" s="159"/>
      <c r="E12" s="156"/>
      <c r="F12" s="150"/>
    </row>
    <row r="13" spans="1:6" ht="15.75">
      <c r="A13" s="148"/>
      <c r="B13" s="863" t="s">
        <v>245</v>
      </c>
      <c r="C13" s="864"/>
      <c r="D13" s="159">
        <v>0.073</v>
      </c>
      <c r="E13" s="156"/>
      <c r="F13" s="150"/>
    </row>
    <row r="14" spans="1:6" ht="15.75">
      <c r="A14" s="148"/>
      <c r="B14" s="865" t="s">
        <v>246</v>
      </c>
      <c r="C14" s="866"/>
      <c r="D14" s="157">
        <f>SUM(D13)</f>
        <v>0.073</v>
      </c>
      <c r="E14" s="158"/>
      <c r="F14" s="150"/>
    </row>
    <row r="15" spans="1:6" ht="15.75">
      <c r="A15" s="148"/>
      <c r="B15" s="861" t="s">
        <v>247</v>
      </c>
      <c r="C15" s="862"/>
      <c r="D15" s="159"/>
      <c r="E15" s="156"/>
      <c r="F15" s="150"/>
    </row>
    <row r="16" spans="1:6" ht="15.75">
      <c r="A16" s="148"/>
      <c r="B16" s="863" t="s">
        <v>248</v>
      </c>
      <c r="C16" s="864"/>
      <c r="D16" s="159">
        <v>0.004</v>
      </c>
      <c r="E16" s="156"/>
      <c r="F16" s="150"/>
    </row>
    <row r="17" spans="1:6" ht="15.75">
      <c r="A17" s="148"/>
      <c r="B17" s="863" t="s">
        <v>249</v>
      </c>
      <c r="C17" s="864"/>
      <c r="D17" s="159">
        <v>0.0056</v>
      </c>
      <c r="E17" s="156"/>
      <c r="F17" s="150"/>
    </row>
    <row r="18" spans="1:6" ht="15.75">
      <c r="A18" s="148"/>
      <c r="B18" s="865" t="s">
        <v>250</v>
      </c>
      <c r="C18" s="866"/>
      <c r="D18" s="160">
        <f>SUM(D16:D17)</f>
        <v>0.0096</v>
      </c>
      <c r="E18" s="158"/>
      <c r="F18" s="150"/>
    </row>
    <row r="19" spans="1:6" ht="15.75">
      <c r="A19" s="148"/>
      <c r="B19" s="861" t="s">
        <v>251</v>
      </c>
      <c r="C19" s="862"/>
      <c r="D19" s="159"/>
      <c r="E19" s="156"/>
      <c r="F19" s="150"/>
    </row>
    <row r="20" spans="1:6" ht="15.75">
      <c r="A20" s="148"/>
      <c r="B20" s="863" t="s">
        <v>252</v>
      </c>
      <c r="C20" s="864"/>
      <c r="D20" s="155">
        <v>0.05</v>
      </c>
      <c r="E20" s="156"/>
      <c r="F20" s="150"/>
    </row>
    <row r="21" spans="1:6" ht="15.75">
      <c r="A21" s="148"/>
      <c r="B21" s="863" t="s">
        <v>253</v>
      </c>
      <c r="C21" s="864"/>
      <c r="D21" s="155">
        <v>0.0065</v>
      </c>
      <c r="E21" s="156"/>
      <c r="F21" s="150"/>
    </row>
    <row r="22" spans="1:6" ht="15.75">
      <c r="A22" s="148"/>
      <c r="B22" s="863" t="s">
        <v>254</v>
      </c>
      <c r="C22" s="864"/>
      <c r="D22" s="155">
        <v>0.03</v>
      </c>
      <c r="E22" s="156"/>
      <c r="F22" s="150"/>
    </row>
    <row r="23" spans="1:6" ht="15.75">
      <c r="A23" s="148"/>
      <c r="B23" s="863" t="s">
        <v>255</v>
      </c>
      <c r="C23" s="864"/>
      <c r="D23" s="155">
        <v>0</v>
      </c>
      <c r="E23" s="156"/>
      <c r="F23" s="150"/>
    </row>
    <row r="24" spans="1:6" ht="15.75">
      <c r="A24" s="148"/>
      <c r="B24" s="865" t="s">
        <v>256</v>
      </c>
      <c r="C24" s="866"/>
      <c r="D24" s="160">
        <f>SUM(D20:D23)</f>
        <v>0.0865</v>
      </c>
      <c r="E24" s="158"/>
      <c r="F24" s="150"/>
    </row>
    <row r="25" spans="1:6" ht="15.75">
      <c r="A25" s="148"/>
      <c r="B25" s="161"/>
      <c r="C25" s="162"/>
      <c r="D25" s="163"/>
      <c r="E25" s="158"/>
      <c r="F25" s="150"/>
    </row>
    <row r="26" spans="1:6" ht="15.75">
      <c r="A26" s="148"/>
      <c r="B26" s="873" t="s">
        <v>257</v>
      </c>
      <c r="C26" s="874"/>
      <c r="D26" s="160">
        <f>SUM(1,D7)*SUM(1,D10,D16,D17)*SUM(1,D13)/(1-D20-D21-D22-D23)-1</f>
        <v>0.2332</v>
      </c>
      <c r="E26" s="158"/>
      <c r="F26" s="150"/>
    </row>
    <row r="27" spans="1:6" ht="15">
      <c r="A27" s="148"/>
      <c r="B27" s="149"/>
      <c r="C27" s="149"/>
      <c r="D27" s="149"/>
      <c r="E27" s="164"/>
      <c r="F27" s="150"/>
    </row>
    <row r="28" spans="1:6" ht="15">
      <c r="A28" s="165" t="s">
        <v>258</v>
      </c>
      <c r="B28" s="166"/>
      <c r="C28" s="166"/>
      <c r="D28" s="166"/>
      <c r="E28" s="166"/>
      <c r="F28" s="167"/>
    </row>
    <row r="29" spans="1:6" ht="15">
      <c r="A29" s="165"/>
      <c r="B29" s="166"/>
      <c r="C29" s="166"/>
      <c r="D29" s="166"/>
      <c r="E29" s="166"/>
      <c r="F29" s="167"/>
    </row>
    <row r="30" spans="1:6" ht="15">
      <c r="A30" s="165"/>
      <c r="B30" s="166"/>
      <c r="C30" s="166"/>
      <c r="D30" s="166"/>
      <c r="E30" s="166"/>
      <c r="F30" s="167"/>
    </row>
    <row r="31" spans="1:6" ht="15">
      <c r="A31" s="168"/>
      <c r="B31" s="166"/>
      <c r="C31" s="166"/>
      <c r="D31" s="166"/>
      <c r="E31" s="166"/>
      <c r="F31" s="167"/>
    </row>
    <row r="32" spans="1:6" ht="15">
      <c r="A32" s="169" t="s">
        <v>259</v>
      </c>
      <c r="B32" s="170" t="s">
        <v>260</v>
      </c>
      <c r="C32" s="166"/>
      <c r="D32" s="166"/>
      <c r="E32" s="166"/>
      <c r="F32" s="167"/>
    </row>
    <row r="33" spans="1:6" ht="15">
      <c r="A33" s="168"/>
      <c r="B33" s="170" t="s">
        <v>261</v>
      </c>
      <c r="C33" s="166"/>
      <c r="D33" s="166"/>
      <c r="E33" s="166"/>
      <c r="F33" s="167"/>
    </row>
    <row r="34" spans="1:6" ht="15">
      <c r="A34" s="168"/>
      <c r="B34" s="875" t="s">
        <v>262</v>
      </c>
      <c r="C34" s="875"/>
      <c r="D34" s="875"/>
      <c r="E34" s="171"/>
      <c r="F34" s="167"/>
    </row>
    <row r="35" spans="1:6" ht="15">
      <c r="A35" s="168"/>
      <c r="B35" s="875" t="s">
        <v>263</v>
      </c>
      <c r="C35" s="875"/>
      <c r="D35" s="875"/>
      <c r="E35" s="171"/>
      <c r="F35" s="167"/>
    </row>
    <row r="36" spans="1:6" ht="15">
      <c r="A36" s="168"/>
      <c r="B36" s="172" t="s">
        <v>264</v>
      </c>
      <c r="C36" s="166"/>
      <c r="D36" s="166"/>
      <c r="E36" s="166"/>
      <c r="F36" s="167"/>
    </row>
    <row r="37" spans="1:6" ht="15">
      <c r="A37" s="168"/>
      <c r="B37" s="170" t="s">
        <v>265</v>
      </c>
      <c r="C37" s="166"/>
      <c r="D37" s="166"/>
      <c r="E37" s="166"/>
      <c r="F37" s="167"/>
    </row>
    <row r="38" spans="1:6" ht="15">
      <c r="A38" s="168"/>
      <c r="B38" s="170" t="s">
        <v>266</v>
      </c>
      <c r="C38" s="166"/>
      <c r="D38" s="166"/>
      <c r="E38" s="166"/>
      <c r="F38" s="167"/>
    </row>
    <row r="39" spans="1:6" ht="15">
      <c r="A39" s="168"/>
      <c r="B39" s="170" t="s">
        <v>267</v>
      </c>
      <c r="C39" s="166"/>
      <c r="D39" s="166"/>
      <c r="E39" s="166"/>
      <c r="F39" s="167"/>
    </row>
    <row r="40" spans="1:6" ht="15">
      <c r="A40" s="168"/>
      <c r="B40" s="170" t="s">
        <v>268</v>
      </c>
      <c r="C40" s="166"/>
      <c r="D40" s="166"/>
      <c r="E40" s="166"/>
      <c r="F40" s="167"/>
    </row>
    <row r="41" spans="1:6" ht="15">
      <c r="A41" s="876"/>
      <c r="B41" s="877"/>
      <c r="C41" s="877"/>
      <c r="D41" s="877"/>
      <c r="E41" s="877"/>
      <c r="F41" s="878"/>
    </row>
    <row r="42" spans="1:6" ht="15.75" thickBot="1">
      <c r="A42" s="870"/>
      <c r="B42" s="871"/>
      <c r="C42" s="871"/>
      <c r="D42" s="871"/>
      <c r="E42" s="871"/>
      <c r="F42" s="872"/>
    </row>
  </sheetData>
  <sheetProtection/>
  <mergeCells count="26">
    <mergeCell ref="A1:F1"/>
    <mergeCell ref="A42:F42"/>
    <mergeCell ref="B23:C23"/>
    <mergeCell ref="B24:C24"/>
    <mergeCell ref="B26:C26"/>
    <mergeCell ref="B34:D34"/>
    <mergeCell ref="B35:D35"/>
    <mergeCell ref="A41:F41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2:F2"/>
    <mergeCell ref="B6:C6"/>
    <mergeCell ref="B7:C7"/>
    <mergeCell ref="B8:C8"/>
    <mergeCell ref="B9:C9"/>
    <mergeCell ref="B10:C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view="pageBreakPreview" zoomScaleSheetLayoutView="100" zoomScalePageLayoutView="0" workbookViewId="0" topLeftCell="A25">
      <selection activeCell="B8" sqref="B8"/>
    </sheetView>
  </sheetViews>
  <sheetFormatPr defaultColWidth="9.140625" defaultRowHeight="12.75"/>
  <cols>
    <col min="1" max="1" width="9.140625" style="126" customWidth="1"/>
    <col min="2" max="2" width="65.8515625" style="126" customWidth="1"/>
    <col min="3" max="3" width="12.140625" style="126" customWidth="1"/>
    <col min="4" max="16384" width="9.140625" style="126" customWidth="1"/>
  </cols>
  <sheetData>
    <row r="1" ht="83.25" customHeight="1">
      <c r="B1" s="284" t="s">
        <v>430</v>
      </c>
    </row>
    <row r="2" spans="1:3" ht="15">
      <c r="A2" s="879" t="s">
        <v>269</v>
      </c>
      <c r="B2" s="880"/>
      <c r="C2" s="881"/>
    </row>
    <row r="3" spans="1:3" ht="15">
      <c r="A3" s="882" t="s">
        <v>270</v>
      </c>
      <c r="B3" s="883"/>
      <c r="C3" s="176" t="s">
        <v>271</v>
      </c>
    </row>
    <row r="4" spans="1:3" ht="15">
      <c r="A4" s="177" t="s">
        <v>272</v>
      </c>
      <c r="B4" s="173" t="s">
        <v>273</v>
      </c>
      <c r="C4" s="178">
        <v>20</v>
      </c>
    </row>
    <row r="5" spans="1:3" ht="15">
      <c r="A5" s="177" t="s">
        <v>274</v>
      </c>
      <c r="B5" s="173" t="s">
        <v>275</v>
      </c>
      <c r="C5" s="178">
        <v>8</v>
      </c>
    </row>
    <row r="6" spans="1:3" ht="15">
      <c r="A6" s="177" t="s">
        <v>276</v>
      </c>
      <c r="B6" s="173" t="s">
        <v>277</v>
      </c>
      <c r="C6" s="179" t="s">
        <v>278</v>
      </c>
    </row>
    <row r="7" spans="1:3" ht="15">
      <c r="A7" s="177" t="s">
        <v>279</v>
      </c>
      <c r="B7" s="173" t="s">
        <v>280</v>
      </c>
      <c r="C7" s="179" t="s">
        <v>281</v>
      </c>
    </row>
    <row r="8" spans="1:3" ht="15">
      <c r="A8" s="177" t="s">
        <v>282</v>
      </c>
      <c r="B8" s="173" t="s">
        <v>283</v>
      </c>
      <c r="C8" s="179" t="s">
        <v>284</v>
      </c>
    </row>
    <row r="9" spans="1:3" ht="15">
      <c r="A9" s="177" t="s">
        <v>285</v>
      </c>
      <c r="B9" s="173" t="s">
        <v>286</v>
      </c>
      <c r="C9" s="179" t="s">
        <v>287</v>
      </c>
    </row>
    <row r="10" spans="1:3" ht="15">
      <c r="A10" s="177" t="s">
        <v>288</v>
      </c>
      <c r="B10" s="173" t="s">
        <v>289</v>
      </c>
      <c r="C10" s="179" t="s">
        <v>290</v>
      </c>
    </row>
    <row r="11" spans="1:3" ht="15">
      <c r="A11" s="177" t="s">
        <v>291</v>
      </c>
      <c r="B11" s="173" t="s">
        <v>292</v>
      </c>
      <c r="C11" s="179" t="s">
        <v>293</v>
      </c>
    </row>
    <row r="12" spans="1:3" ht="15">
      <c r="A12" s="177" t="s">
        <v>294</v>
      </c>
      <c r="B12" s="173" t="s">
        <v>295</v>
      </c>
      <c r="C12" s="179" t="s">
        <v>296</v>
      </c>
    </row>
    <row r="13" spans="1:3" ht="15">
      <c r="A13" s="884" t="s">
        <v>297</v>
      </c>
      <c r="B13" s="885"/>
      <c r="C13" s="180">
        <v>0.378</v>
      </c>
    </row>
    <row r="14" spans="1:3" ht="15">
      <c r="A14" s="882" t="s">
        <v>298</v>
      </c>
      <c r="B14" s="883"/>
      <c r="C14" s="176" t="s">
        <v>271</v>
      </c>
    </row>
    <row r="15" spans="1:3" ht="15">
      <c r="A15" s="177" t="s">
        <v>299</v>
      </c>
      <c r="B15" s="173" t="s">
        <v>300</v>
      </c>
      <c r="C15" s="179" t="s">
        <v>301</v>
      </c>
    </row>
    <row r="16" spans="1:3" ht="15">
      <c r="A16" s="177" t="s">
        <v>302</v>
      </c>
      <c r="B16" s="173" t="s">
        <v>303</v>
      </c>
      <c r="C16" s="179" t="s">
        <v>304</v>
      </c>
    </row>
    <row r="17" spans="1:3" ht="15">
      <c r="A17" s="177" t="s">
        <v>305</v>
      </c>
      <c r="B17" s="173" t="s">
        <v>306</v>
      </c>
      <c r="C17" s="179" t="s">
        <v>307</v>
      </c>
    </row>
    <row r="18" spans="1:3" ht="15">
      <c r="A18" s="177" t="s">
        <v>308</v>
      </c>
      <c r="B18" s="173" t="s">
        <v>309</v>
      </c>
      <c r="C18" s="179" t="s">
        <v>310</v>
      </c>
    </row>
    <row r="19" spans="1:3" ht="15">
      <c r="A19" s="177" t="s">
        <v>311</v>
      </c>
      <c r="B19" s="173" t="s">
        <v>312</v>
      </c>
      <c r="C19" s="179" t="s">
        <v>313</v>
      </c>
    </row>
    <row r="20" spans="1:3" ht="15">
      <c r="A20" s="177" t="s">
        <v>314</v>
      </c>
      <c r="B20" s="173" t="s">
        <v>315</v>
      </c>
      <c r="C20" s="179" t="s">
        <v>316</v>
      </c>
    </row>
    <row r="21" spans="1:3" ht="15">
      <c r="A21" s="177" t="s">
        <v>317</v>
      </c>
      <c r="B21" s="173" t="s">
        <v>318</v>
      </c>
      <c r="C21" s="179" t="s">
        <v>319</v>
      </c>
    </row>
    <row r="22" spans="1:3" ht="15">
      <c r="A22" s="884" t="s">
        <v>320</v>
      </c>
      <c r="B22" s="885"/>
      <c r="C22" s="181" t="s">
        <v>321</v>
      </c>
    </row>
    <row r="23" spans="1:3" ht="15">
      <c r="A23" s="882" t="s">
        <v>322</v>
      </c>
      <c r="B23" s="883"/>
      <c r="C23" s="176" t="s">
        <v>271</v>
      </c>
    </row>
    <row r="24" spans="1:3" ht="15">
      <c r="A24" s="177" t="s">
        <v>323</v>
      </c>
      <c r="B24" s="173" t="s">
        <v>324</v>
      </c>
      <c r="C24" s="182" t="s">
        <v>325</v>
      </c>
    </row>
    <row r="25" spans="1:3" ht="15">
      <c r="A25" s="177" t="s">
        <v>326</v>
      </c>
      <c r="B25" s="173" t="s">
        <v>327</v>
      </c>
      <c r="C25" s="182" t="s">
        <v>328</v>
      </c>
    </row>
    <row r="26" spans="1:3" ht="15">
      <c r="A26" s="177" t="s">
        <v>329</v>
      </c>
      <c r="B26" s="173" t="s">
        <v>330</v>
      </c>
      <c r="C26" s="182" t="s">
        <v>331</v>
      </c>
    </row>
    <row r="27" spans="1:3" ht="15">
      <c r="A27" s="177" t="s">
        <v>332</v>
      </c>
      <c r="B27" s="173" t="s">
        <v>333</v>
      </c>
      <c r="C27" s="182" t="s">
        <v>334</v>
      </c>
    </row>
    <row r="28" spans="1:3" ht="15">
      <c r="A28" s="177" t="s">
        <v>335</v>
      </c>
      <c r="B28" s="173" t="s">
        <v>336</v>
      </c>
      <c r="C28" s="183">
        <v>2.26</v>
      </c>
    </row>
    <row r="29" spans="1:3" ht="15">
      <c r="A29" s="884" t="s">
        <v>337</v>
      </c>
      <c r="B29" s="885"/>
      <c r="C29" s="184">
        <v>0.3099</v>
      </c>
    </row>
    <row r="30" spans="1:3" ht="15">
      <c r="A30" s="882" t="s">
        <v>338</v>
      </c>
      <c r="B30" s="883"/>
      <c r="C30" s="176" t="s">
        <v>271</v>
      </c>
    </row>
    <row r="31" spans="1:3" ht="15">
      <c r="A31" s="185" t="s">
        <v>339</v>
      </c>
      <c r="B31" s="173" t="s">
        <v>340</v>
      </c>
      <c r="C31" s="182">
        <v>12.63</v>
      </c>
    </row>
    <row r="32" spans="1:3" ht="15">
      <c r="A32" s="884" t="s">
        <v>341</v>
      </c>
      <c r="B32" s="885"/>
      <c r="C32" s="180">
        <v>0.1263</v>
      </c>
    </row>
    <row r="33" spans="1:3" ht="15">
      <c r="A33" s="886" t="s">
        <v>342</v>
      </c>
      <c r="B33" s="886"/>
      <c r="C33" s="186">
        <f>C13+C22+C29+C32</f>
        <v>1.1484</v>
      </c>
    </row>
    <row r="34" spans="1:3" ht="15">
      <c r="A34" s="882" t="s">
        <v>343</v>
      </c>
      <c r="B34" s="883"/>
      <c r="C34" s="176" t="s">
        <v>271</v>
      </c>
    </row>
    <row r="35" spans="1:3" ht="15">
      <c r="A35" s="185" t="s">
        <v>344</v>
      </c>
      <c r="B35" s="173" t="s">
        <v>345</v>
      </c>
      <c r="C35" s="179" t="s">
        <v>346</v>
      </c>
    </row>
    <row r="36" spans="1:3" ht="15">
      <c r="A36" s="185" t="s">
        <v>347</v>
      </c>
      <c r="B36" s="173" t="s">
        <v>348</v>
      </c>
      <c r="C36" s="179" t="s">
        <v>349</v>
      </c>
    </row>
    <row r="37" spans="1:3" ht="30">
      <c r="A37" s="187" t="s">
        <v>350</v>
      </c>
      <c r="B37" s="174" t="s">
        <v>351</v>
      </c>
      <c r="C37" s="188" t="s">
        <v>352</v>
      </c>
    </row>
    <row r="38" spans="1:3" ht="15">
      <c r="A38" s="185" t="s">
        <v>353</v>
      </c>
      <c r="B38" s="173" t="s">
        <v>354</v>
      </c>
      <c r="C38" s="179" t="s">
        <v>355</v>
      </c>
    </row>
    <row r="39" spans="1:3" ht="15">
      <c r="A39" s="884" t="s">
        <v>356</v>
      </c>
      <c r="B39" s="885"/>
      <c r="C39" s="181" t="s">
        <v>357</v>
      </c>
    </row>
    <row r="40" spans="1:3" ht="15">
      <c r="A40" s="886" t="s">
        <v>358</v>
      </c>
      <c r="B40" s="886"/>
      <c r="C40" s="175">
        <f>C33+C39</f>
        <v>1.5727</v>
      </c>
    </row>
  </sheetData>
  <sheetProtection/>
  <mergeCells count="13">
    <mergeCell ref="A40:B40"/>
    <mergeCell ref="A29:B29"/>
    <mergeCell ref="A30:B30"/>
    <mergeCell ref="A32:B32"/>
    <mergeCell ref="A33:B33"/>
    <mergeCell ref="A34:B34"/>
    <mergeCell ref="A39:B39"/>
    <mergeCell ref="A2:C2"/>
    <mergeCell ref="A3:B3"/>
    <mergeCell ref="A13:B13"/>
    <mergeCell ref="A14:B14"/>
    <mergeCell ref="A22:B22"/>
    <mergeCell ref="A23:B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showGridLines="0" tabSelected="1" view="pageBreakPreview" zoomScaleSheetLayoutView="100" zoomScalePageLayoutView="0" workbookViewId="0" topLeftCell="A1">
      <selection activeCell="A11" sqref="A11:B11"/>
    </sheetView>
  </sheetViews>
  <sheetFormatPr defaultColWidth="9.140625" defaultRowHeight="12.75"/>
  <cols>
    <col min="1" max="1" width="15.140625" style="126" customWidth="1"/>
    <col min="2" max="2" width="58.00390625" style="126" customWidth="1"/>
    <col min="3" max="3" width="12.8515625" style="126" customWidth="1"/>
    <col min="4" max="16384" width="9.140625" style="126" customWidth="1"/>
  </cols>
  <sheetData>
    <row r="1" spans="1:3" ht="74.25" customHeight="1">
      <c r="A1" s="194"/>
      <c r="B1" s="285" t="s">
        <v>430</v>
      </c>
      <c r="C1" s="194"/>
    </row>
    <row r="2" spans="1:3" ht="15">
      <c r="A2" s="879" t="s">
        <v>359</v>
      </c>
      <c r="B2" s="880"/>
      <c r="C2" s="881"/>
    </row>
    <row r="3" spans="1:3" ht="15">
      <c r="A3" s="887" t="s">
        <v>360</v>
      </c>
      <c r="B3" s="173" t="s">
        <v>361</v>
      </c>
      <c r="C3" s="189">
        <v>0.2</v>
      </c>
    </row>
    <row r="4" spans="1:3" ht="15">
      <c r="A4" s="888"/>
      <c r="B4" s="173" t="s">
        <v>362</v>
      </c>
      <c r="C4" s="189">
        <v>0.015</v>
      </c>
    </row>
    <row r="5" spans="1:3" ht="15">
      <c r="A5" s="888"/>
      <c r="B5" s="173" t="s">
        <v>363</v>
      </c>
      <c r="C5" s="189">
        <v>0.01</v>
      </c>
    </row>
    <row r="6" spans="1:3" ht="15">
      <c r="A6" s="888"/>
      <c r="B6" s="173" t="s">
        <v>364</v>
      </c>
      <c r="C6" s="189">
        <v>0.006</v>
      </c>
    </row>
    <row r="7" spans="1:3" ht="15">
      <c r="A7" s="888"/>
      <c r="B7" s="173" t="s">
        <v>365</v>
      </c>
      <c r="C7" s="189">
        <v>0.002</v>
      </c>
    </row>
    <row r="8" spans="1:3" ht="15">
      <c r="A8" s="888"/>
      <c r="B8" s="173" t="s">
        <v>366</v>
      </c>
      <c r="C8" s="189">
        <v>0.025</v>
      </c>
    </row>
    <row r="9" spans="1:3" ht="15">
      <c r="A9" s="888"/>
      <c r="B9" s="173" t="s">
        <v>367</v>
      </c>
      <c r="C9" s="189">
        <v>0.01</v>
      </c>
    </row>
    <row r="10" spans="1:3" ht="15">
      <c r="A10" s="889"/>
      <c r="B10" s="173" t="s">
        <v>368</v>
      </c>
      <c r="C10" s="189">
        <v>0.08</v>
      </c>
    </row>
    <row r="11" spans="1:3" ht="15">
      <c r="A11" s="890" t="s">
        <v>369</v>
      </c>
      <c r="B11" s="891"/>
      <c r="C11" s="190">
        <f>SUM(C3:C10)</f>
        <v>0.348</v>
      </c>
    </row>
    <row r="12" spans="1:3" ht="15">
      <c r="A12" s="887" t="s">
        <v>241</v>
      </c>
      <c r="B12" s="173" t="s">
        <v>370</v>
      </c>
      <c r="C12" s="189">
        <v>0.1111</v>
      </c>
    </row>
    <row r="13" spans="1:3" ht="15">
      <c r="A13" s="888"/>
      <c r="B13" s="173" t="s">
        <v>371</v>
      </c>
      <c r="C13" s="189">
        <v>0.0175</v>
      </c>
    </row>
    <row r="14" spans="1:3" ht="15">
      <c r="A14" s="888"/>
      <c r="B14" s="173" t="s">
        <v>372</v>
      </c>
      <c r="C14" s="189">
        <v>0.0137</v>
      </c>
    </row>
    <row r="15" spans="1:3" ht="15">
      <c r="A15" s="888"/>
      <c r="B15" s="173" t="s">
        <v>373</v>
      </c>
      <c r="C15" s="189">
        <v>0.0833</v>
      </c>
    </row>
    <row r="16" spans="1:3" ht="15">
      <c r="A16" s="888"/>
      <c r="B16" s="173" t="s">
        <v>374</v>
      </c>
      <c r="C16" s="189">
        <v>0</v>
      </c>
    </row>
    <row r="17" spans="1:3" ht="15">
      <c r="A17" s="888"/>
      <c r="B17" s="173" t="s">
        <v>375</v>
      </c>
      <c r="C17" s="189">
        <v>0.0005</v>
      </c>
    </row>
    <row r="18" spans="1:3" ht="15">
      <c r="A18" s="888"/>
      <c r="B18" s="173" t="s">
        <v>376</v>
      </c>
      <c r="C18" s="189">
        <v>0.0164</v>
      </c>
    </row>
    <row r="19" spans="1:3" ht="15">
      <c r="A19" s="889"/>
      <c r="B19" s="173" t="s">
        <v>377</v>
      </c>
      <c r="C19" s="189">
        <v>0.0021</v>
      </c>
    </row>
    <row r="20" spans="1:3" ht="15">
      <c r="A20" s="890" t="s">
        <v>378</v>
      </c>
      <c r="B20" s="891"/>
      <c r="C20" s="190">
        <f>SUM(C12:C19)</f>
        <v>0.2446</v>
      </c>
    </row>
    <row r="21" spans="1:3" ht="15">
      <c r="A21" s="887" t="s">
        <v>379</v>
      </c>
      <c r="B21" s="173" t="s">
        <v>380</v>
      </c>
      <c r="C21" s="191">
        <v>0.0433</v>
      </c>
    </row>
    <row r="22" spans="1:3" ht="15">
      <c r="A22" s="888"/>
      <c r="B22" s="173" t="s">
        <v>381</v>
      </c>
      <c r="C22" s="191">
        <v>0</v>
      </c>
    </row>
    <row r="23" spans="1:3" ht="15">
      <c r="A23" s="888"/>
      <c r="B23" s="173" t="s">
        <v>382</v>
      </c>
      <c r="C23" s="191">
        <v>0.0083</v>
      </c>
    </row>
    <row r="24" spans="1:3" ht="15">
      <c r="A24" s="888"/>
      <c r="B24" s="173" t="s">
        <v>383</v>
      </c>
      <c r="C24" s="191">
        <v>0.0008</v>
      </c>
    </row>
    <row r="25" spans="1:3" ht="15">
      <c r="A25" s="890" t="s">
        <v>384</v>
      </c>
      <c r="B25" s="891"/>
      <c r="C25" s="190">
        <f>SUM(C21:C24)</f>
        <v>0.0524</v>
      </c>
    </row>
    <row r="26" spans="1:3" ht="15">
      <c r="A26" s="887" t="s">
        <v>385</v>
      </c>
      <c r="B26" s="173" t="s">
        <v>386</v>
      </c>
      <c r="C26" s="191">
        <v>0.0851</v>
      </c>
    </row>
    <row r="27" spans="1:3" ht="15">
      <c r="A27" s="888"/>
      <c r="B27" s="173" t="s">
        <v>387</v>
      </c>
      <c r="C27" s="191">
        <v>0.0067</v>
      </c>
    </row>
    <row r="28" spans="1:3" ht="15">
      <c r="A28" s="889"/>
      <c r="B28" s="173" t="s">
        <v>388</v>
      </c>
      <c r="C28" s="191">
        <v>0.0016</v>
      </c>
    </row>
    <row r="29" spans="1:3" ht="15">
      <c r="A29" s="890" t="s">
        <v>389</v>
      </c>
      <c r="B29" s="891"/>
      <c r="C29" s="190">
        <f>SUM(C26:C28)</f>
        <v>0.0934</v>
      </c>
    </row>
    <row r="30" spans="1:3" ht="15">
      <c r="A30" s="192" t="s">
        <v>251</v>
      </c>
      <c r="B30" s="173" t="s">
        <v>390</v>
      </c>
      <c r="C30" s="189">
        <v>0.102</v>
      </c>
    </row>
    <row r="31" spans="1:3" ht="15">
      <c r="A31" s="892" t="s">
        <v>391</v>
      </c>
      <c r="B31" s="893"/>
      <c r="C31" s="190">
        <f>SUM(C30:C30)</f>
        <v>0.102</v>
      </c>
    </row>
    <row r="32" spans="1:3" ht="15">
      <c r="A32" s="886" t="s">
        <v>392</v>
      </c>
      <c r="B32" s="886"/>
      <c r="C32" s="193">
        <f>C11+C20+C25+C29+C31</f>
        <v>0.8404</v>
      </c>
    </row>
  </sheetData>
  <sheetProtection/>
  <mergeCells count="11">
    <mergeCell ref="A25:B25"/>
    <mergeCell ref="A26:A28"/>
    <mergeCell ref="A29:B29"/>
    <mergeCell ref="A31:B31"/>
    <mergeCell ref="A32:B32"/>
    <mergeCell ref="A2:C2"/>
    <mergeCell ref="A3:A10"/>
    <mergeCell ref="A11:B11"/>
    <mergeCell ref="A12:A19"/>
    <mergeCell ref="A20:B20"/>
    <mergeCell ref="A21:A2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Carolina Peruchi</dc:creator>
  <cp:keywords/>
  <dc:description/>
  <cp:lastModifiedBy>carlos.pereira</cp:lastModifiedBy>
  <cp:lastPrinted>2022-01-21T12:30:14Z</cp:lastPrinted>
  <dcterms:created xsi:type="dcterms:W3CDTF">2014-01-17T15:50:34Z</dcterms:created>
  <dcterms:modified xsi:type="dcterms:W3CDTF">2022-02-24T11:51:46Z</dcterms:modified>
  <cp:category/>
  <cp:version/>
  <cp:contentType/>
  <cp:contentStatus/>
</cp:coreProperties>
</file>