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PLANILHA ORÇAMENTÁRIA " sheetId="1" r:id="rId1"/>
    <sheet name="MEMÓRIA DE CÁLCULO" sheetId="2" r:id="rId2"/>
    <sheet name="BDI" sheetId="3" r:id="rId3"/>
    <sheet name="CRONOGRAMA" sheetId="4" r:id="rId4"/>
    <sheet name="ADM LOCAL" sheetId="5" r:id="rId5"/>
    <sheet name="EST-01" sheetId="6" r:id="rId6"/>
    <sheet name="PIN-01" sheetId="7" r:id="rId7"/>
    <sheet name="PIS-01" sheetId="8" r:id="rId8"/>
  </sheets>
  <externalReferences>
    <externalReference r:id="rId11"/>
  </externalReferences>
  <definedNames>
    <definedName name="_xlnm.Print_Area" localSheetId="4">'ADM LOCAL'!$A$1:$I$42</definedName>
    <definedName name="_xlnm.Print_Area" localSheetId="2">'BDI'!$A$2:$H$45</definedName>
    <definedName name="_xlnm.Print_Area" localSheetId="3">'CRONOGRAMA'!$A$1:$N$53</definedName>
    <definedName name="_xlnm.Print_Area" localSheetId="5">'EST-01'!$A$1:$I$44</definedName>
    <definedName name="_xlnm.Print_Area" localSheetId="1">'MEMÓRIA DE CÁLCULO'!$A$1:$J$801</definedName>
    <definedName name="_xlnm.Print_Area" localSheetId="6">'PIN-01'!$A$1:$I$45</definedName>
    <definedName name="_xlnm.Print_Area" localSheetId="7">'PIS-01'!$A$1:$I$44</definedName>
    <definedName name="_xlnm.Print_Area" localSheetId="0">'PLANILHA ORÇAMENTÁRIA '!$A$1:$K$171</definedName>
    <definedName name="SETOP.12">#REF!</definedName>
    <definedName name="SETOP.13">#REF!</definedName>
    <definedName name="_xlnm.Print_Titles" localSheetId="3">'CRONOGRAMA'!$1:$6</definedName>
    <definedName name="_xlnm.Print_Titles" localSheetId="1">'MEMÓRIA DE CÁLCULO'!$1:$6</definedName>
    <definedName name="_xlnm.Print_Titles" localSheetId="0">'PLANILHA ORÇAMENTÁRIA '!$1:$6</definedName>
  </definedNames>
  <calcPr fullCalcOnLoad="1" fullPrecision="0" iterate="1" iterateCount="100" iterateDelta="0.0001"/>
</workbook>
</file>

<file path=xl/comments3.xml><?xml version="1.0" encoding="utf-8"?>
<comments xmlns="http://schemas.openxmlformats.org/spreadsheetml/2006/main">
  <authors>
    <author>caixa</author>
    <author>Cremilson In?cio de Souza</author>
    <author>c094707</author>
  </authors>
  <commentList>
    <comment ref="B9" authorId="0">
      <text>
        <r>
          <rPr>
            <sz val="9"/>
            <rFont val="Segoe UI"/>
            <family val="2"/>
          </rPr>
          <t>Nome do Orgão  ou Empresa Executante</t>
        </r>
      </text>
    </comment>
    <comment ref="B15" authorId="1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B19" authorId="1">
      <text>
        <r>
          <rPr>
            <sz val="9"/>
            <rFont val="Tahoma"/>
            <family val="2"/>
          </rPr>
          <t xml:space="preserve">3.3.10.7.6.1 “Construção de Edifícios” enquadram-se:
 a construção e reforma de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 pórticos, mirantes e outros edifícios de finalidade turística.
3.3.10.7.6.2 “Construção de Rodovias e Ferrovias” enquadram-se:
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pavimentação e sinalização de vias urbanas, ruas e locais para estacionamento de veículos, a construção de praças, pista de atletismo, campos de futebol e calçadas para pedestres, elevados, passarelas e ciclovias, metrô e VLT.
3.3.10.7.6.3 “Construção de Redes de Abastecimento de Água, Coleta de Esgoto e Construções Correlatas” enquadram-se:
 a construção de sistemas para o abastecimento de água tratada - reservatórios de distribuição, estações elevatórias de bombeamento, linhas principais de adução de longa e média distância e redes de distribuição de água, a construção de redes de coleta de esgoto, inclusive de interceptores, estações de tratamento de esgoto (ETE), estações de bombeamento de esgoto (EBE), a construção de galerias pluviais (obras de micro e macrodrenagem);
 as obras de irrigação (canais), a manutenção de redes de abastecimento de água tratada, a manutenção de redes de coleta e de sistemas de tratamento de esgoto, conforme classificação 4222-7 do CNAE 2.0;
 a construção de estações de tratamento de água (ETA).
3.3.10.7.6.4 “Construção e Manutenção de Estações e Redes de Distribuição de Energia Elétrica” enquadram-se:
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
 obras de iluminação pública e a construção de barragens e represas para geração de energia elétrica.
3.3.10.7.6.5 Para o tipo de obra “Portuárias, Marítimas e Fluviais” enquadram-se:
 obras marítimas e fluviais, tais como, construção de instalações portuárias, construção de portos e marinas, construção de eclusas e canais de navegação (vias navegáveis), enrrocamentos, obras de dragagem, aterro hidráulico, barragens, represas e diques, exceto para energia elétrica, a construção de emissários submarinos, a instalação de cabos submarinos, conforme classificação 4291-0 do CNAE 2.0;
 a construção de píeres e outras obras com influência direta de cursos d’água.
</t>
        </r>
      </text>
    </comment>
    <comment ref="C23" authorId="2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24" authorId="2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2"/>
          </rPr>
          <t xml:space="preserve">
</t>
        </r>
      </text>
    </comment>
    <comment ref="C26" authorId="2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8" authorId="2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C32" authorId="2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37" authorId="2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38" authorId="2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sharedStrings.xml><?xml version="1.0" encoding="utf-8"?>
<sst xmlns="http://schemas.openxmlformats.org/spreadsheetml/2006/main" count="2150" uniqueCount="715">
  <si>
    <t>ITEM</t>
  </si>
  <si>
    <t>QUANT.</t>
  </si>
  <si>
    <t>01.01</t>
  </si>
  <si>
    <t>02.01</t>
  </si>
  <si>
    <t>03.01</t>
  </si>
  <si>
    <t>03.02</t>
  </si>
  <si>
    <t>04.01</t>
  </si>
  <si>
    <t>04.02</t>
  </si>
  <si>
    <t>04.04</t>
  </si>
  <si>
    <t>05.01</t>
  </si>
  <si>
    <t>05.03</t>
  </si>
  <si>
    <t>05.04</t>
  </si>
  <si>
    <t>06.01</t>
  </si>
  <si>
    <t>07.01</t>
  </si>
  <si>
    <t>07.02</t>
  </si>
  <si>
    <t>08.01</t>
  </si>
  <si>
    <t>09.01</t>
  </si>
  <si>
    <t>09.02</t>
  </si>
  <si>
    <t>10.01</t>
  </si>
  <si>
    <t>10.02</t>
  </si>
  <si>
    <t>10.03</t>
  </si>
  <si>
    <t>10.04</t>
  </si>
  <si>
    <t>13.01</t>
  </si>
  <si>
    <t>m</t>
  </si>
  <si>
    <t>kg</t>
  </si>
  <si>
    <t>SUPERESTRUTURA</t>
  </si>
  <si>
    <t>PISOS</t>
  </si>
  <si>
    <t>PINTURA</t>
  </si>
  <si>
    <t>LIMPEZA DA OBRA</t>
  </si>
  <si>
    <t>pç</t>
  </si>
  <si>
    <t>04.03</t>
  </si>
  <si>
    <t>05.05</t>
  </si>
  <si>
    <t>06.02</t>
  </si>
  <si>
    <t>SERVIÇOS PRELIMINARES</t>
  </si>
  <si>
    <t>ALVENARIAS E DIVISÕES</t>
  </si>
  <si>
    <t>INSTALAÇÕES ELÉTRICAS</t>
  </si>
  <si>
    <t>13.02</t>
  </si>
  <si>
    <t>13.03</t>
  </si>
  <si>
    <t>03.03</t>
  </si>
  <si>
    <t>01</t>
  </si>
  <si>
    <t>02</t>
  </si>
  <si>
    <t>03</t>
  </si>
  <si>
    <t>03.04</t>
  </si>
  <si>
    <t>03.05</t>
  </si>
  <si>
    <t>03.06</t>
  </si>
  <si>
    <t>03.07</t>
  </si>
  <si>
    <t>04</t>
  </si>
  <si>
    <t>04.05</t>
  </si>
  <si>
    <t>04.06</t>
  </si>
  <si>
    <t>05</t>
  </si>
  <si>
    <t>05.02</t>
  </si>
  <si>
    <t>05.06</t>
  </si>
  <si>
    <t>06</t>
  </si>
  <si>
    <t>06.03</t>
  </si>
  <si>
    <t>06.05</t>
  </si>
  <si>
    <t>06.06</t>
  </si>
  <si>
    <t>07</t>
  </si>
  <si>
    <t>08</t>
  </si>
  <si>
    <t>09</t>
  </si>
  <si>
    <t>10</t>
  </si>
  <si>
    <t>FUNDAÇÕES</t>
  </si>
  <si>
    <t>11</t>
  </si>
  <si>
    <t>11.01</t>
  </si>
  <si>
    <t>11.02</t>
  </si>
  <si>
    <t>11.03</t>
  </si>
  <si>
    <t>11.04</t>
  </si>
  <si>
    <t>12</t>
  </si>
  <si>
    <t>12.01</t>
  </si>
  <si>
    <t>12.02</t>
  </si>
  <si>
    <t>12.03</t>
  </si>
  <si>
    <t>12.04</t>
  </si>
  <si>
    <t>13</t>
  </si>
  <si>
    <t>14</t>
  </si>
  <si>
    <t>15</t>
  </si>
  <si>
    <t>16</t>
  </si>
  <si>
    <t>17</t>
  </si>
  <si>
    <t>ESQUADRIAS METÁLICAS</t>
  </si>
  <si>
    <t>13.04</t>
  </si>
  <si>
    <t>DEMOLIÇÕES E REMOÇÕES</t>
  </si>
  <si>
    <t>ADMINISTRAÇÃO LOCAL</t>
  </si>
  <si>
    <t>18</t>
  </si>
  <si>
    <t>CÓDIGO</t>
  </si>
  <si>
    <t>Placa de obra nas dimensões de 2.0 x 4.0 m, padrão IOPES</t>
  </si>
  <si>
    <t>IOPES</t>
  </si>
  <si>
    <t>TOTAL ITEM 01</t>
  </si>
  <si>
    <t>SINAPI</t>
  </si>
  <si>
    <t>TOTAL ITEM 02</t>
  </si>
  <si>
    <t>Demolição de alvenaria</t>
  </si>
  <si>
    <t>Retirada de estrutura em madeira do telhado</t>
  </si>
  <si>
    <t>Remoção de telha ondulada de fibrocimento, inclusive cumeeira</t>
  </si>
  <si>
    <t>Índice de preço para remoção de entulho decorrente da execução de obras (Classe A CONAMA - NBR10.004 - Classe II-B), incluindo aluguel da caçamba, carga, transporte e descarga em área licenciada</t>
  </si>
  <si>
    <t>TOTAL ITEM 03</t>
  </si>
  <si>
    <t>TOTAL ITEM 04</t>
  </si>
  <si>
    <t>Fôrma de chapa compensada resinada 12mm, levando-se em conta a utilização 3 vezes (incluido o material, corte, montagem, escoramento e desfôrma)</t>
  </si>
  <si>
    <t>Fornecimento, dobragem e colocação em fôrma, de armadura CA-50 A média, diâmetro de 6.3 a 10.0 mm</t>
  </si>
  <si>
    <t>Fornecimento, dobragem e colocação em fôrma, de armadura CA-60 B fina, diâmetro de 4.0 a 7.0mm</t>
  </si>
  <si>
    <t>REFORÇO DA FUNDAÇÃO</t>
  </si>
  <si>
    <t>TOTAL ITEM 05</t>
  </si>
  <si>
    <t>Laje pré-fabricada treliçada, sobrecarga 300 Kg/m2, vão de 3.5m a 4.3m, capeamento 4cm, esp. 12cm, Fck= 150 Kg/cm2</t>
  </si>
  <si>
    <t>Fornecimento, preparo e aplicação de concreto Fck = 30 MPa (com brita 1 e 2) - (5% de perdas já incluído no custo)</t>
  </si>
  <si>
    <t>TOTAL ITEM 06</t>
  </si>
  <si>
    <t>TOTAL ITEM 07</t>
  </si>
  <si>
    <t>TOTAL ITEM 08</t>
  </si>
  <si>
    <t>Chapisco de argamassa de cimento e areia média ou grossa lavada, no traço 1:3, espessura 5 mm</t>
  </si>
  <si>
    <t>Retirada de portas e janelas de madeira, inclusive batentes</t>
  </si>
  <si>
    <t>Recomposição de concreto danificado, com utilização de argamassa Sika Grout ou equivalente</t>
  </si>
  <si>
    <t>VERGAS/CONTRAVERGA</t>
  </si>
  <si>
    <t>Verga/contraverga reta de concreto armado 10 x 5 cm, Fck = 15 MPa, inclusive forma, armação e desforma</t>
  </si>
  <si>
    <t>ESQUADRIAS DE MADEIRA</t>
  </si>
  <si>
    <t>un.</t>
  </si>
  <si>
    <t>TOTAL ITEM 10</t>
  </si>
  <si>
    <t>COBERTURA</t>
  </si>
  <si>
    <t>TOTAL ITEM 11</t>
  </si>
  <si>
    <t>Rufo de chapa metálica nº 26 com largura de 30 cm</t>
  </si>
  <si>
    <t>Calha em chapa galvanizada com largura de 40 cm</t>
  </si>
  <si>
    <t>Pingadeira em granito, largura 15 cm, espessura 2,0 cm.</t>
  </si>
  <si>
    <t>11.05</t>
  </si>
  <si>
    <t>REVESTIMENTO DE PAREDES E TETOS</t>
  </si>
  <si>
    <t>Emboço de argamassa de cimento, cal hidratada CH1 e areia média ou grossa lavada no traço 1:0.5:6, espessura 20 mm</t>
  </si>
  <si>
    <t>Reboco de argamassa de cimento, cal hidratada CH1 e areia média ou grossa lavada no traço 1:0.5:6, espessura 5mm</t>
  </si>
  <si>
    <t>Cerâmica 10 x 10 cm, marcas de referência Eliane, Cecrisa ou Portobello, nas cores branco ou areia, com rejunte esp. 0.5 cm, empregando argamassa colante</t>
  </si>
  <si>
    <t>TOTAL ITEM 12</t>
  </si>
  <si>
    <t>Regularização de base p/ revestimento cerâmico, com argamassa de cimento e areia no traço 1:5, espessura 5cm</t>
  </si>
  <si>
    <t>Revestimento cerâmico para piso com placas tipo esmaltada extra de dimensões 60x60 cm</t>
  </si>
  <si>
    <t>Rodapé em cerâmica PEI-3, h = 7cm, assentado com argamassa de cimento, cal e areia, incl. Rejuntamento com cimento branco</t>
  </si>
  <si>
    <t>TOTAL ITEM 13</t>
  </si>
  <si>
    <t>INSTALAÇÕES HIDROSSANITÁRIAS</t>
  </si>
  <si>
    <t>TOTAL ITEM 14</t>
  </si>
  <si>
    <t>Disjuntor tipo DIN/IEC, monopolar de 6  ate  32A</t>
  </si>
  <si>
    <t>Luminaria tipo tartaruga para area externa em aluminio, com grade, para 1 lampada, base E27, potencia maxima 40/60 W (nao inclui lampada)</t>
  </si>
  <si>
    <t>Lampada fluorescente compacta 2U branca 15 W, base E27 (127/220 V)</t>
  </si>
  <si>
    <t>Lampada vapor metalico tubular 400 W (base E40)</t>
  </si>
  <si>
    <t>Reator interno/integrado para lampada vapor metalico 400 W, alto fator de potencia</t>
  </si>
  <si>
    <t>Haste de aterramento em aco com 3,00 m de comprimento e DN = 5/8", revestida com baixa camada de cobre, com conector tipo grampo</t>
  </si>
  <si>
    <t>INSTALAÇÕES DE INCÊNDIO</t>
  </si>
  <si>
    <t>TOTAL ITEM 16</t>
  </si>
  <si>
    <t>APARELHOS HIDROSSANITÁRIOS</t>
  </si>
  <si>
    <t>Saboneteira plastica tipo dispenser para sabonete liquido com reservatorio 800 A 1500 ml</t>
  </si>
  <si>
    <t>Cuba em aço inox nº 02(dim.560x340x150)mm, marcas de referência Franke, Strake, tramontina, inclusive válvula de metal 31/2" e sifão cromado 1 x 1/2", excl. torneira</t>
  </si>
  <si>
    <t>Chuveiro elétrico tipo ducha Lorenzet ou Corona</t>
  </si>
  <si>
    <t>Bacia sifonada de louça branca sem abertura frontal para portadores de necessidades especiais, Vogue Plus Conforto - Linha Conforto, mod P510, incl. assento poliester, ref.AP51,marca de ref. Deca ou equivalente, sem abertura frontal</t>
  </si>
  <si>
    <t>Torneira pressão cromada diâm. 1/2" para lavatório, marcas de referência Fabrimar, Deca ou Docol</t>
  </si>
  <si>
    <t>Torneira pressão cromada diam. 1/2" para pia, marcas de referência Fabrimar, Deca ou Docol</t>
  </si>
  <si>
    <t>TOTAL ITEM 17</t>
  </si>
  <si>
    <t>Pintura com tinta esmalte sintético, marcas de referência Suvinil, Coral ou Metalatex, a duas demãos inclusive fundo anticorrosivo a uma demão, em metal</t>
  </si>
  <si>
    <t>Emassamento de paredes e forros, com duas demãos de massa acrílica, marcas de referência Suvinil Coral ou Metalatex (construção nova)</t>
  </si>
  <si>
    <t>Pintura com tinta acrílica, marcas de referência Suvinil, Coral e Metalatex, inclusive selador acrílico, em paredes e forros, a duas demãos</t>
  </si>
  <si>
    <t>BANCADAS E PRATELEIRAS</t>
  </si>
  <si>
    <t>Bancada de granito com espessura de 2 cm</t>
  </si>
  <si>
    <t>19</t>
  </si>
  <si>
    <t>Limpeza geral da obra</t>
  </si>
  <si>
    <t>20</t>
  </si>
  <si>
    <t>TOTAL ITEM 20</t>
  </si>
  <si>
    <t>T O T A L     F I N A L</t>
  </si>
  <si>
    <t>DIVERSOS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</si>
  <si>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</si>
  <si>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</si>
  <si>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</si>
  <si>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</si>
  <si>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</si>
  <si>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</si>
  <si>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</si>
  <si>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</si>
  <si>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</si>
  <si>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</si>
  <si>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</si>
  <si>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</si>
  <si>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</si>
  <si>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</si>
  <si>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</si>
  <si>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</si>
  <si>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</si>
  <si>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</si>
  <si>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</si>
  <si>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</si>
  <si>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</si>
  <si>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</si>
  <si>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</si>
  <si>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</si>
  <si>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</si>
  <si>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</si>
  <si>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</si>
  <si>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INSTALAÇÕES SPDA</t>
  </si>
  <si>
    <t>-</t>
  </si>
  <si>
    <t>Alvenaria de vedação de blocos cerâmicos furados na vertical de 9x19x39cm (espessura 9cm) de paredes</t>
  </si>
  <si>
    <t>Alvenaria de vedação de blocos cerâmicos furados na vertical de 14x19x 39cm (espessura 14cm) de paredes</t>
  </si>
  <si>
    <t>Fornecimento e aplicação de concreto USINADO Fck=25 MPa - considerando lançamento MANUAL para INFRA-ESTRUTURA (5% de perdas já incluído no custo)</t>
  </si>
  <si>
    <t>21</t>
  </si>
  <si>
    <t>Luminária de emergência autônoma ie-16 com lâmpada de 8w</t>
  </si>
  <si>
    <t>TOTAL ITEM 15</t>
  </si>
  <si>
    <t>Extintores</t>
  </si>
  <si>
    <t>Sinalizações / Placas</t>
  </si>
  <si>
    <t>TOTAL ITEM 19</t>
  </si>
  <si>
    <t>TOTAL ITEM 21</t>
  </si>
  <si>
    <t>Ponto de água fria embutido, para chuveiro, caixa de descarga, lavatorio, pia de cozinha e tanque de lavar roupa, com material PVC rígido soldável, inclusive conexões</t>
  </si>
  <si>
    <t>Ponto de esgoto para vaso sanitário, caixa sifonada, pia, lavatorio e tanque, inclusive conexões.</t>
  </si>
  <si>
    <t>Caixa de gordura, com tampa, PVC 250x230x 75 mm</t>
  </si>
  <si>
    <t>Caixa de inspeção em alvenaria de tijolo maciço 60X60X60 cm, revestida internamente com barra lisa (cimento e areia - traço: 1:4) com tampa pré-moldada de concreto e fundo  de concreto 15 Mpa tipo C - Escavação e confecção</t>
  </si>
  <si>
    <t>Instalações de água</t>
  </si>
  <si>
    <t>Instalações Sanitárias</t>
  </si>
  <si>
    <t>Ponto para ralo sifonado, inclusive ralo sifonado 100 x 40 mm c/ grelha em pvc</t>
  </si>
  <si>
    <t>TOTAL ITEM 18</t>
  </si>
  <si>
    <t>Adaptador com flange 25mmx3/4</t>
  </si>
  <si>
    <t>Torneira de bóia real 1/2 com balão plástico</t>
  </si>
  <si>
    <t>PREFEITURA MUNICIPAL DE JOÃO NEIVA
SECRETARIA MUNICIPAL DE OBRAS E SERVIÇOS URBANOS</t>
  </si>
  <si>
    <t>MEMÓRIA DE CÁLCULO</t>
  </si>
  <si>
    <t>DESCRIÇÃO SERVIÇO</t>
  </si>
  <si>
    <t>UNIDADE</t>
  </si>
  <si>
    <t>Qnt</t>
  </si>
  <si>
    <t>C (m)</t>
  </si>
  <si>
    <t>L (m)</t>
  </si>
  <si>
    <t>H (m)</t>
  </si>
  <si>
    <t>A(m2)</t>
  </si>
  <si>
    <t>V(m3)</t>
  </si>
  <si>
    <t>QUANT.  DO SERVIÇO</t>
  </si>
  <si>
    <t>UND</t>
  </si>
  <si>
    <t>M2</t>
  </si>
  <si>
    <t xml:space="preserve">PLACA DE OBRA EM CHAPA DE ACO GALVANIZADO </t>
  </si>
  <si>
    <t>Placa com as informações da obra</t>
  </si>
  <si>
    <t>MÊS</t>
  </si>
  <si>
    <t>M</t>
  </si>
  <si>
    <t>M3</t>
  </si>
  <si>
    <t>Qtd de cabos (und)</t>
  </si>
  <si>
    <t>Local</t>
  </si>
  <si>
    <t>07.03.09</t>
  </si>
  <si>
    <t>Ponto de ônibus</t>
  </si>
  <si>
    <t>Estacionamento</t>
  </si>
  <si>
    <t>PLANILHA ORÇAMENTÁRIA</t>
  </si>
  <si>
    <t>FONTE</t>
  </si>
  <si>
    <t>DESCRIÇÃO DOS SERIÇOS</t>
  </si>
  <si>
    <t>UNID.</t>
  </si>
  <si>
    <t>P. UNIT.</t>
  </si>
  <si>
    <t>PREÇO UNITÁRIO COM BDI</t>
  </si>
  <si>
    <t>PREÇO TOTAL</t>
  </si>
  <si>
    <t>%</t>
  </si>
  <si>
    <t>01.02</t>
  </si>
  <si>
    <t xml:space="preserve">CONVÊNIO Nº: </t>
  </si>
  <si>
    <r>
      <t xml:space="preserve">ENCARGOS SOCIAIS: </t>
    </r>
    <r>
      <rPr>
        <sz val="10"/>
        <rFont val="Arial"/>
        <family val="2"/>
      </rPr>
      <t>128,33%</t>
    </r>
  </si>
  <si>
    <t>ENCARREGADO</t>
  </si>
  <si>
    <t>DEMOLIÇÃO DE ALVENARIA</t>
  </si>
  <si>
    <t>RETIRADA DE ESTRUTURA EM MADEIRA DO TELHADO</t>
  </si>
  <si>
    <t>REMOÇÃO DE TELHA ONDULADA EM FIBROCIMENTO, INCLUSIVE CUMEEIRA</t>
  </si>
  <si>
    <t>RETIRADA DE JANELAS E PORTAS EM MADEIRA, INCLUSIVE BATENTES</t>
  </si>
  <si>
    <t>ÍNDICE DE PREÇO PARA REMOÇÃO DE ENTULHO DECORRENTE DA EXECUÇÃO DE OBRAS (CLASSE A CONAMA - NBR10.004 - CLASSE II-B), INCLUINDO AKUGUEL DA CAÇAMBA, CARGA, TRANSPORTE E DESCARGA EM ÁREA LICENCIADA</t>
  </si>
  <si>
    <t>FÔRMA DE CHAPA COMPENSADA RESINADA 12 MM, LEVANDO-SE EM CONTA A UTILIZAÇÃO 3 VEZES, (INCLUINDO O MATERIAL, CORTE, MONTAGEM, ESCORAMENTO E DESFÔRMA)</t>
  </si>
  <si>
    <t>FORNECIMENTO E APLICAÇÃO DE CONCRETO USINADO FCK=25 MPA - CONSIDERANDO LANÇAMENTO MANUAL PARA INFRA ESTRUTURA (5% DE PERDAS JÁ INCLUÍDO NO CUSTO)</t>
  </si>
  <si>
    <t>FORNECIMENTO, DOBRAGEM E COLOCAÇÃO EM FÔRMA, DE ARMADDURA CA-50 MÉDIA, DIÂMETRO DE 6,3 A 10,0 MM</t>
  </si>
  <si>
    <t>KG</t>
  </si>
  <si>
    <t>FORNECIMENTO, DOBRAGEM E COLOCAÇÃO EM FÔRMA, DE ARMADURA CA-60 B FINA, DIÂMETRO DE 4,0 A 7,0 MM</t>
  </si>
  <si>
    <t>RECOMPOSIÇÃO DE CONCRETO DANIFICADO, COM UTILIZAÇÃO DE ARGAMASSA SIKA GROUT OU EQUIVALENTE</t>
  </si>
  <si>
    <t>Quantidade Estimada</t>
  </si>
  <si>
    <t>FUNDAÇÃO</t>
  </si>
  <si>
    <t>06.04</t>
  </si>
  <si>
    <t>Fornecimento, preparo e aplicação de concreto Fck=25 MPa (brita 1 e 2) - (5% de perdas já incluído no custo)</t>
  </si>
  <si>
    <t>FORNECIMENTO, PREPARO E APLICAÇÃO DE CONCRETO FCK = 25 MPA (COM BRITA 1 E 2) - (5% DE PERDAS JÁ INCLUÍDO NO CUSTO)</t>
  </si>
  <si>
    <t>LAJE PRÉ-FABRICADA TRELIÇADA, SOBRECARGA 300 KG/M2, VÃO DE 3.5M A 4.3M, CAPEAMENTO 4CM, ESP. 12CM, FCK= 150 KG/CM2</t>
  </si>
  <si>
    <t>ALVENARIA DE VEDAÇÃO DE BLOCOS CERÂMICOS FURADOS NA VERTICAL DE 14X19X 39CM (ESPESSURA 14CM) DE PAREDES</t>
  </si>
  <si>
    <r>
      <t xml:space="preserve">LOCAL: </t>
    </r>
    <r>
      <rPr>
        <b/>
        <sz val="10"/>
        <rFont val="Arial"/>
        <family val="2"/>
      </rPr>
      <t xml:space="preserve"> JOÃO NEIVA/ES</t>
    </r>
  </si>
  <si>
    <t>ALVENARIA DE VEDAÇÃO DE BLOCOS CERÂMICOS FURADOS NA VERTICAL DE 9X19X39CM (ESPESSURA 9CM) DE PAREDES</t>
  </si>
  <si>
    <t>VERGA E CONTRAVERGA</t>
  </si>
  <si>
    <t>VERGA/CONTRAVERGA RETA DE CONCRETO ARMADO 10 X 5 CM, FCK = 15 MPA, INCLUSIVE FORMA, ARMAÇÃO E DESFORMA</t>
  </si>
  <si>
    <t>P5</t>
  </si>
  <si>
    <t>P6</t>
  </si>
  <si>
    <t>P7</t>
  </si>
  <si>
    <t>P8</t>
  </si>
  <si>
    <t>P10</t>
  </si>
  <si>
    <t>P11</t>
  </si>
  <si>
    <t>P12</t>
  </si>
  <si>
    <t>P13</t>
  </si>
  <si>
    <t>PORTAS</t>
  </si>
  <si>
    <t>JANELAS</t>
  </si>
  <si>
    <t>J1</t>
  </si>
  <si>
    <t>J2</t>
  </si>
  <si>
    <t>J3</t>
  </si>
  <si>
    <t>J4</t>
  </si>
  <si>
    <t>J5</t>
  </si>
  <si>
    <t>J6</t>
  </si>
  <si>
    <t>J7</t>
  </si>
  <si>
    <t>J9</t>
  </si>
  <si>
    <t>J10</t>
  </si>
  <si>
    <t>J11</t>
  </si>
  <si>
    <t>J12</t>
  </si>
  <si>
    <t>J13</t>
  </si>
  <si>
    <t>J14</t>
  </si>
  <si>
    <t>J15</t>
  </si>
  <si>
    <t>P1</t>
  </si>
  <si>
    <t>P2</t>
  </si>
  <si>
    <t>P3</t>
  </si>
  <si>
    <t>P4</t>
  </si>
  <si>
    <t>P9</t>
  </si>
  <si>
    <t>JANELA DE AÇO DE CORRER, 2 FOLHAS, FIXAÇÃO COM ARGAMASSA, COM VIDROS</t>
  </si>
  <si>
    <t>Parede Frontal</t>
  </si>
  <si>
    <t>ESTRUTURA DE MADEIRA DE LEI TIPO PARAJU, PEROBA MICA, ANGELIM PEDRA OU EQUIVALENTE PARA TELHADO DE TELHA ONDULADA DE FIBROCIMENTO ESP. 6MM, COM PONTALETES E CAIBROS, INCLUSIVE TRATAMENTO COM CUPINICIDA, EXCLUSIVE TELHAS.</t>
  </si>
  <si>
    <t>COBERTURA NOVA DE TELHAS ONDULADAS DE FIBROCIMENTO 6.0MM, INCLUSIVE CUMEEIRAS E ACESSÓRIOS DE FIXAÇÃO</t>
  </si>
  <si>
    <t>RUFO DE CHAPA METÁLICA Nº 26 COM LARGURA DE 30 CM</t>
  </si>
  <si>
    <t>CALHA EM CHAPA GALVANIZADA COM LARGURA DE 40 CM</t>
  </si>
  <si>
    <t>PINGADEIRA EM GRANITO, LARGURA 15 CM, ESPESSURA 2,0 CM.</t>
  </si>
  <si>
    <t>CHAPISCO DE ARGAMASSA DE CIMENTO E AREIA MÉDIA OU GROSSA LAVADA, NO TRAÇO 1:3, ESPESSURA 5 MM</t>
  </si>
  <si>
    <t>Área de alvenaria, espessura 14 cm, duas vezes, interna e externa</t>
  </si>
  <si>
    <t>Área de alvenaria, espessura 9 cm, duas vezes, interna e externa</t>
  </si>
  <si>
    <t>CERÂMICA 10 X 10 CM, MARCAS DE REFERÊNCIA ELIANE, CECRISA OU PORTOBELLO, NAS CORES BRANCO OU AREIA, COM REJUNTE ESP. 0.5 CM, EMPREGANDO ARGAMASSA COLANTE</t>
  </si>
  <si>
    <t>Cozinha</t>
  </si>
  <si>
    <t>EMBOÇO DE ARGAMASSA DE CIMENTO, CAL HIDRATADA CH1 E AREIA MÉDIA OU GROSSA LAVADA NO TRAÇO 1:0.5:6, ESPESSURA 20 MM</t>
  </si>
  <si>
    <t>Área considerada para recuperação que se fizerem necessárias em edificação já existente</t>
  </si>
  <si>
    <t>Mesma área da cerâmica</t>
  </si>
  <si>
    <t>REBOCO DE ARGAMASSA DE CIMENTO, CAL HIDRATADA CH1 E AREIA MÉDIA OU GROSSA LAVADA NO TRAÇO 1:0.5:6, ESPESSURA 5MM</t>
  </si>
  <si>
    <t>Área de chapisco - Área da cerâmica</t>
  </si>
  <si>
    <t>REGULARIZAÇÃO DE BASE P/ REVESTIMENTO CERÂMICO, COM ARGAMASSA DE CIMENTO E AREIA NO TRAÇO 1:5, ESPESSURA 5CM</t>
  </si>
  <si>
    <t>Piso cerâmico anti derrapante, PEI 5,dim. 60x60 cm, ref. de cor IMOLA ICE Biancogres/equiv., assentado com argamassa de cimento colante, inclusive rejuntamento com cimento branco</t>
  </si>
  <si>
    <t>PISO CERÂMICO ANTI DERRAPANTE, PEI 5,DIM. 60X60 CM, REF. DE COR IMOLA ICE BIANCOGRES/EQUIV., ASSENTADO COM ARGAMASSA DE CIMENTO COLANTE, INCLUSIVE REJUNTAMENTO COM CIMENTO BRANCO</t>
  </si>
  <si>
    <t>Almoxarifado</t>
  </si>
  <si>
    <t>REVESTIMENTO CERÂMICO PARA PISO COM PLACAS TIPO ESMALTADA EXTRA DE DIMENSÕES 60X60 CM</t>
  </si>
  <si>
    <t>RODAPÉ EM CERÂMICA PEI-3, H = 7CM, ASSENTADO COM ARGAMASSA DE CIMENTO, CAL E AREIA, INCL. REJUNTAMENTO COM CIMENTO BRANCO</t>
  </si>
  <si>
    <t>15.01</t>
  </si>
  <si>
    <t>15.02</t>
  </si>
  <si>
    <t>15.03</t>
  </si>
  <si>
    <t>15.04</t>
  </si>
  <si>
    <t>15.05</t>
  </si>
  <si>
    <t>15.06</t>
  </si>
  <si>
    <t>MATERIAIS CONFORME PLANILHA ANEXA AO PROJETO ELÉTRICO</t>
  </si>
  <si>
    <t>QUANTIDADES CONFORME PROJETOS HIDROSSANITÁRIOS - PRANCHAS 5.1 À 5.7</t>
  </si>
  <si>
    <t>Extintor de incêndio tipo pó químico 2-A:20-B:C, capacidade 4 kg</t>
  </si>
  <si>
    <r>
      <t xml:space="preserve">LOCAL: 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JOÃO NEIVA/ES</t>
    </r>
  </si>
  <si>
    <t>BDI (30,90%)</t>
  </si>
  <si>
    <t>m2</t>
  </si>
  <si>
    <t>m3</t>
  </si>
  <si>
    <t>DESCRIÇÃO</t>
  </si>
  <si>
    <t>21.01</t>
  </si>
  <si>
    <t>Cobertura nova de telhas onduladas de fibrocimento 6.0mm, inclusive cumeeiras e acessórios de fixação</t>
  </si>
  <si>
    <t>Estrutura de madeira de lei tipo Paraju, peroba mica, angelim pedra ou equivalente para telhado de telha ondulada de fibrocimento esp. 6mm, com pontaletes e caibros, inclusive tratamento com cupinicida, exclusive telhas (edificação nova + rampa)</t>
  </si>
  <si>
    <t>LS:</t>
  </si>
  <si>
    <t>BDI:</t>
  </si>
  <si>
    <t>Data-base</t>
  </si>
  <si>
    <t>COMPOSIÇÃO ANALÍTICA DE PREÇO UNITÁRIO</t>
  </si>
  <si>
    <t>SERVIÇO:</t>
  </si>
  <si>
    <t xml:space="preserve">UND: </t>
  </si>
  <si>
    <t>MÃO-DE-OBRA</t>
  </si>
  <si>
    <t>CÓD.</t>
  </si>
  <si>
    <t>ORGÃO</t>
  </si>
  <si>
    <t>COEF</t>
  </si>
  <si>
    <t>R$ UNIT.</t>
  </si>
  <si>
    <t>R$ PARCIAL</t>
  </si>
  <si>
    <t>AUXILIAR DE ELETRICISTA COM ENCARGOS COMPLEMENTARES</t>
  </si>
  <si>
    <t>H</t>
  </si>
  <si>
    <t>ELETRICISTA COM ENCARGOS COMPLEMENTARES</t>
  </si>
  <si>
    <t>TOTAL A</t>
  </si>
  <si>
    <t>MATERIAIS/ SERVIÇOS</t>
  </si>
  <si>
    <t>TOTAL B</t>
  </si>
  <si>
    <t>EQUIPAMENTOS</t>
  </si>
  <si>
    <t>TOTAL C</t>
  </si>
  <si>
    <t>RESUMO</t>
  </si>
  <si>
    <t>TOTAL  A</t>
  </si>
  <si>
    <t>TOTAL  B</t>
  </si>
  <si>
    <t>TOTAL D ( TOTAL A X LEIS SOCIAIS)</t>
  </si>
  <si>
    <t>TOTAL E (A+B+C)</t>
  </si>
  <si>
    <t>PREÇO DE VENDA</t>
  </si>
  <si>
    <t>Local: JOÃO NEIVA/ES</t>
  </si>
  <si>
    <t>TOTAL F (BDI 30,90%)</t>
  </si>
  <si>
    <t>Lavatório de louça branca com coluna suspensa, linha Vogue Plus Confort para portadores de necessidades especiais, marca de referencia DECA, Celite ou Ideal Standart, inclusive valvula, sifão e engates, exclusive torneira</t>
  </si>
  <si>
    <t>16.01</t>
  </si>
  <si>
    <t>16.02</t>
  </si>
  <si>
    <t>16.02.01</t>
  </si>
  <si>
    <t>16.02.02</t>
  </si>
  <si>
    <t>17.01</t>
  </si>
  <si>
    <t>17.02</t>
  </si>
  <si>
    <t>18.01</t>
  </si>
  <si>
    <t>19.01</t>
  </si>
  <si>
    <t>20.01</t>
  </si>
  <si>
    <t>20.02</t>
  </si>
  <si>
    <t>20.03</t>
  </si>
  <si>
    <t>Und</t>
  </si>
  <si>
    <t>Lavatório de louça branca com coluna, Ravena L91 + C9 inclusive sifão, válvula e engates cromados, exclusive torneira</t>
  </si>
  <si>
    <t>Obs. 2:  Não foram descontados os vãos de portas e janelas, e na compensação não foram levantas as espalas.</t>
  </si>
  <si>
    <t>Obs.:  Não foram descontados os vãos de portas e janelas,e na compensação não foram levantas as espalas.</t>
  </si>
  <si>
    <t>Área do reboco (construção nova)</t>
  </si>
  <si>
    <t>ÁREA EXISTENTE</t>
  </si>
  <si>
    <r>
      <t>πR</t>
    </r>
    <r>
      <rPr>
        <b/>
        <sz val="11"/>
        <rFont val="Arial"/>
        <family val="2"/>
      </rPr>
      <t>²</t>
    </r>
  </si>
  <si>
    <t>LAVATÓRIO DE LOUÇA BRANCA COM COLUNA SUSPENSA, LINHA VOGUE PLUS CONFORT PARA PORTADORES DE NECESSIDADES ESPECIAIS, MARCA DE REFERENCIA DECA, CELITE OU IDEAL STANDART, INCLUSIVE VALVULA, SIFÃO E ENGATES, EXCLUSIVE TORNEIRA</t>
  </si>
  <si>
    <t>SABONETEIRA PLASTICA TIPO DISPENSER PARA SABONETE LIQUIDO COM RESERVATORIO 800 A 1500 ML</t>
  </si>
  <si>
    <t>CHUVEIRO ELÉTRICO TIPO DUCHA LORENZET OU CORONA</t>
  </si>
  <si>
    <t>CUBA EM AÇO INOX Nº 02(DIM.560X340X150)MM, MARCAS DE REFERÊNCIA FRANKE, STRAKE, TRAMONTINA, INCLUSIVE VÁLVULA DE METAL 31/2" E SIFÃO CROMADO 1 X 1/2", EXCL. TORNEIRA</t>
  </si>
  <si>
    <t>BACIA SIFONADA DE LOUÇA BRANCA SEM ABERTURA FRONTAL PARA PORTADORES DE NECESSIDADES ESPECIAIS, VOGUE PLUS CONFORTO - LINHA CONFORTO, MOD P510, INCL. ASSENTO POLIESTER, REF.AP51,MARCA DE REF. DECA OU EQUIVALENTE, SEM ABERTURA FRONTAL</t>
  </si>
  <si>
    <t>BACIA CONVENCIONAL EM LOUÇA BRANCA REF. LINHA RAVENA P9 DECA OU EQUIV., INCLUSIVE TUBO DE LIGAÇÃO, ACESSÓRIOS DE FIXAÇÃO E ASSENTO PLÁSTICO</t>
  </si>
  <si>
    <t>LAVATÓRIO DE LOUÇA BRANCA COM COLUNA, RAVENA L91 + C9 INCLUSIVE SIFÃO, VÁLVULA E ENGATES CROMADOS, EXCLUSIVE TORNEIRA</t>
  </si>
  <si>
    <t>TORNEIRA PRESSÃO CROMADA DIÂM. 1/2" PARA LAVATÓRIO, MARCAS DE REFERÊNCIA FABRIMAR, DECA OU DOCOL</t>
  </si>
  <si>
    <t>TORNEIRA PRESSÃO CROMADA DIAM. 1/2" PARA PIA, MARCAS DE REFERÊNCIA FABRIMAR, DECA OU DOCOL</t>
  </si>
  <si>
    <t>BANCADA DE GRANITO COM ESPESSURA DE 2 CM</t>
  </si>
  <si>
    <t>EMASSAMENTO DE PAREDES E FORROS, COM DUAS DEMÃOS DE MASSA ACRÍLICA, MARCAS DE REFERÊNCIA SUVINIL CORAL OU METALATEX (CONSTRUÇÃO NOVA)</t>
  </si>
  <si>
    <t>PINTURA COM TINTA ACRÍLICA, MARCAS DE REFERÊNCIA SUVINIL, CORAL E METALATEX, INCLUSIVE SELADOR ACRÍLICO, EM PAREDES E FORROS, A DUAS DEMÃOS</t>
  </si>
  <si>
    <t>PINTURA COM TINTA ESMALTE SINTÉTICO, MARCAS DE REFERÊNCIA SUVINIL, CORAL OU METALATEX, A DUAS DEMÃOS INCLUSIVE FUNDO ANTICORROSIVO A UMA DEMÃO, EM METAL</t>
  </si>
  <si>
    <t>Obs.: Cada unidade multiplicada por 2,5 (2 lados + peças diversas)</t>
  </si>
  <si>
    <t>GUARDA CORPO DE TUBO DE FERRO GALVANIZADO, DIÂM. 3" E 2", H=0.8 M INCLUSIVE PINTURA A ÓLEO OU ESMALTE</t>
  </si>
  <si>
    <t>CORRIMÃO DE TUBO DE FERRO GALVANIZADO DIÂMETRO 3" COM CHUMBADORES A CADA 1.50M, INCLUSIVE PINTURA A ÓLEO OU ESMALTE</t>
  </si>
  <si>
    <t>LIMPEZA GERAL DA OBRA</t>
  </si>
  <si>
    <t>DETALHAMENTO DO BDI</t>
  </si>
  <si>
    <t>PROPONENTE:</t>
  </si>
  <si>
    <t>Prefeitura Municipal de João Neiva</t>
  </si>
  <si>
    <t>OBRA:</t>
  </si>
  <si>
    <t>CONTRATO:</t>
  </si>
  <si>
    <t>1. Regime de Contribuição Previdenciária</t>
  </si>
  <si>
    <t>Com Desoneração</t>
  </si>
  <si>
    <t>2. Tipo de Intervenção</t>
  </si>
  <si>
    <t>Edificações</t>
  </si>
  <si>
    <t>3. Incidências sobre o custo</t>
  </si>
  <si>
    <r>
      <t>Administração Central -</t>
    </r>
    <r>
      <rPr>
        <b/>
        <sz val="10"/>
        <rFont val="Arial"/>
        <family val="2"/>
      </rPr>
      <t xml:space="preserve"> AC</t>
    </r>
  </si>
  <si>
    <r>
      <t>Riscos -</t>
    </r>
    <r>
      <rPr>
        <b/>
        <sz val="10"/>
        <rFont val="Arial"/>
        <family val="2"/>
      </rPr>
      <t xml:space="preserve"> R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</si>
  <si>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</si>
  <si>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</si>
  <si>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Lucro -</t>
    </r>
    <r>
      <rPr>
        <b/>
        <sz val="10"/>
        <rFont val="Arial"/>
        <family val="2"/>
      </rPr>
      <t xml:space="preserve"> L</t>
    </r>
  </si>
  <si>
    <t>4 – Incidências sobre o preço de venda</t>
  </si>
  <si>
    <t>Despesas Tributárias - I</t>
  </si>
  <si>
    <t>Percentual da base de cálculo para o ISS:</t>
  </si>
  <si>
    <t>Alíquota do ISS (sobre a base de cálculo):</t>
  </si>
  <si>
    <t>COFINS</t>
  </si>
  <si>
    <t>PIS</t>
  </si>
  <si>
    <t>INSS</t>
  </si>
  <si>
    <t>5 – Demonstrativo de cálculo do BDI</t>
  </si>
  <si>
    <r>
      <t xml:space="preserve">BDI=    </t>
    </r>
    <r>
      <rPr>
        <u val="single"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=</t>
    </r>
  </si>
  <si>
    <t>( 1- I )</t>
  </si>
  <si>
    <t xml:space="preserve"> CRONOGRAMA FÍSICO-FINANCEIRO</t>
  </si>
  <si>
    <t>PREFEITURA MUNICIPAL DE JOÃO NEIVA - ES</t>
  </si>
  <si>
    <t>DATA BASE: AGOSTO/2018</t>
  </si>
  <si>
    <t xml:space="preserve">ITEM </t>
  </si>
  <si>
    <t>R$  / %</t>
  </si>
  <si>
    <t>MESES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</si>
  <si>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</si>
  <si>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</si>
  <si>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</si>
  <si>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</si>
  <si>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</si>
  <si>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</si>
  <si>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</si>
  <si>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</si>
  <si>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</si>
  <si>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</si>
  <si>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R$</t>
  </si>
  <si>
    <t>VERGA/CONTRAVERGA</t>
  </si>
  <si>
    <t>LIMPEZA</t>
  </si>
  <si>
    <t>SERVIÇO</t>
  </si>
  <si>
    <t>VALORES DO ITEM</t>
  </si>
  <si>
    <t>VALOR DO SERVIÇO EXECUTADO NO MÊS</t>
  </si>
  <si>
    <t>PORCENTAGEM</t>
  </si>
  <si>
    <t>VALOR ACUMULADO DOS SERVIÇOS EXECUTADOS</t>
  </si>
  <si>
    <t>PROCENTAGEM ACUMULADA</t>
  </si>
  <si>
    <t>Prancha 3.10 - Blocos</t>
  </si>
  <si>
    <t>Prancha 3.10 - Pilares</t>
  </si>
  <si>
    <t>Prancha 3.11 - VB1 à VB6</t>
  </si>
  <si>
    <t>Prancha 3.12 - V1 à V13</t>
  </si>
  <si>
    <t>Fornecimento e aplicação de concreto USINADO Fck=20 MPa - considerando lançamento MANUAL para INFRA-ESTRUTURA (5% de perdas já incluído no custo)</t>
  </si>
  <si>
    <t>FORNECIMENTO E APLICAÇÃO DE CONCRETO USINADO FCK=20 MPA - CONSIDERANDO LANÇAMENTO MANUAL PARA INFRA ESTRUTURA (5% DE PERDAS JÁ INCLUINDO NO CUSTO)</t>
  </si>
  <si>
    <t>OBRA: PROJETO DE REFORMA UBS GADIOLI</t>
  </si>
  <si>
    <t>Projeto de Reforma UBS Gadioli</t>
  </si>
  <si>
    <t>Obra: PROJETO DE REFORMA UBS GADIOLI</t>
  </si>
  <si>
    <t>PROJETO DE REFORMA UBS GADIOLI</t>
  </si>
  <si>
    <t>Prancha 2.1</t>
  </si>
  <si>
    <t>Cozinha / Circulação</t>
  </si>
  <si>
    <t>Consultório odontológico à recepção</t>
  </si>
  <si>
    <t>Sala de imunização</t>
  </si>
  <si>
    <t>Cobertura Existente</t>
  </si>
  <si>
    <t>Retirada de esquadrias metálicas</t>
  </si>
  <si>
    <t>Circulação entre I.S.</t>
  </si>
  <si>
    <t>Área próxima a escada</t>
  </si>
  <si>
    <t>Esterelização</t>
  </si>
  <si>
    <t>Circulação - Consultório 1</t>
  </si>
  <si>
    <t>Recepção</t>
  </si>
  <si>
    <t>RETIRADA DE ESQUADRIAS METÁLICAS</t>
  </si>
  <si>
    <t>Sala de Inalação</t>
  </si>
  <si>
    <t>Prancha 2.3</t>
  </si>
  <si>
    <t>Esterelização / Expurgo</t>
  </si>
  <si>
    <t>Sala de Inalação / Abrigo Compressor / Almoxarifado</t>
  </si>
  <si>
    <t>ESTACA ESCAVADA MECANICAMENTE, SEM FLUIDO ESTABILIZANTE, COM 25 CM DE DIÂMETRO, ATÉ 9 M DE COMPRIMENTO, CONCRETO LANÇADO MANUALMENTE (EXCLUSIVE MOBILIZAÇÃO E DESMOBILIZAÇÃO)</t>
  </si>
  <si>
    <t>Prancha 3.1</t>
  </si>
  <si>
    <t>Estacas</t>
  </si>
  <si>
    <t>Escavação manual em material de 1a. categoria, até 1.50 m de profundidade</t>
  </si>
  <si>
    <t>ESCAVAÇÃO MANUAL EM MATERIAL DE 1A. CATEGORIA, ATÉ 1.50 M DE PROFUNDIDADE</t>
  </si>
  <si>
    <t>Blocos</t>
  </si>
  <si>
    <t>05.07</t>
  </si>
  <si>
    <t>Prancha 3.2</t>
  </si>
  <si>
    <t>LE1 / LE2 / LE3 / LE4</t>
  </si>
  <si>
    <t>Prancha 3.3</t>
  </si>
  <si>
    <t>Pilares</t>
  </si>
  <si>
    <t>Vigas: VB1 à VB22</t>
  </si>
  <si>
    <t>Prancha 3.4</t>
  </si>
  <si>
    <t>Prancha 3.6</t>
  </si>
  <si>
    <t>Vigas: V1 à V22</t>
  </si>
  <si>
    <t>Prancha 3.8</t>
  </si>
  <si>
    <t>VC1 à VC9</t>
  </si>
  <si>
    <t>Prancha 3.10</t>
  </si>
  <si>
    <t>04.07</t>
  </si>
  <si>
    <t>04.08</t>
  </si>
  <si>
    <t>Prancha 3.9</t>
  </si>
  <si>
    <t>Laje maciça - Cobertura</t>
  </si>
  <si>
    <t>FORNECIMENTO E APLICAÇÃO DE CONCRETO USINADO FCK=20 MPA - CONSIDERANDO LANÇAMENTO MANUAL PARA INFRA ESTRUTURA (5% DE PERDAS JÁ INCLUÍDO NO CUSTO)</t>
  </si>
  <si>
    <t>06.07</t>
  </si>
  <si>
    <t>Prancha 3.5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</si>
  <si>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</si>
  <si>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</si>
  <si>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</si>
  <si>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</si>
  <si>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</si>
  <si>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</si>
  <si>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</si>
  <si>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</si>
  <si>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</si>
  <si>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</si>
  <si>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</si>
  <si>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</si>
  <si>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</si>
  <si>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</si>
  <si>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Prancha 3.7</t>
  </si>
  <si>
    <t>Parede externa</t>
  </si>
  <si>
    <t>Sala de ADM / Gerência</t>
  </si>
  <si>
    <t>Reunião ACS</t>
  </si>
  <si>
    <t>IS Fem./IS Masc. / Cozinha</t>
  </si>
  <si>
    <t>DML / Expurgo / Esterelização</t>
  </si>
  <si>
    <t>Sala de Curativos / Abrigo Compressor / Sala de Inalação / Almoxarifado</t>
  </si>
  <si>
    <t>Is Fem / IS Masc / Sala de Imunização</t>
  </si>
  <si>
    <t>Sala de Imunização</t>
  </si>
  <si>
    <t>IS - Consultório 1</t>
  </si>
  <si>
    <t>Consultório 3</t>
  </si>
  <si>
    <t>IS PNE Masc.</t>
  </si>
  <si>
    <t>Imersão</t>
  </si>
  <si>
    <t>Parede Fundo</t>
  </si>
  <si>
    <t>Laterais</t>
  </si>
  <si>
    <t>P14</t>
  </si>
  <si>
    <r>
      <t>Janela de aço de correr, 2 folhas, fixação com argamassa,</t>
    </r>
    <r>
      <rPr>
        <b/>
        <sz val="10"/>
        <rFont val="Arial"/>
        <family val="2"/>
      </rPr>
      <t xml:space="preserve"> com vidros</t>
    </r>
  </si>
  <si>
    <t>J8</t>
  </si>
  <si>
    <t>Cabo de cobre, flexivel, classe 4 ou 5, isolacao em pvc/a, antichama bwf-b, cobertura pvc-st1, antichama bwf-b, 1 condutor, 0,6/1 kv, secao nominal 1,5 mm2</t>
  </si>
  <si>
    <t>Cabo de cobre, flexivel, classe 4 ou 5, isolacao em pvc/a, antichama bwf-b, cobertura pvc-st1, antichama bwf-b, 1 condutor, 0,6/1 kv, secao nominal 2,5 mm2</t>
  </si>
  <si>
    <t>Cabo de cobre, flexivel, classe 4 ou 5, isolacao em pvc/a, antichama bwf-b, cobertura pvc-st1, antichama bwf-b, 1 condutor, 0,6/1 kv, secao nominal 4 mm2</t>
  </si>
  <si>
    <t>Cabo de cobre, flexivel, classe 4 ou 5, isolacao em pvc/a, antichama bwf-b, cobertura pvc-st1, antichama bwf-b, 1 condutor, 0,6/1 kv, secao nominal 16 mm2</t>
  </si>
  <si>
    <t>Disjuntor tipo DIN/IEC, bipolar de 6 ate 32A</t>
  </si>
  <si>
    <t>Dispositivo DR, 4 polos, sensibilidade de 30 ma, corrente de 63 A, tipo AC</t>
  </si>
  <si>
    <t>Dispositivo DPS classe II, 1 polo, tensão máxima de 275 v, corrente máxima de *20* ka (tipo AC)</t>
  </si>
  <si>
    <t>Quadro de distribuição com barramento trifásico, de embutir, em chapa de aço galvanizado, para 24 disjuntores DIN, 100 a</t>
  </si>
  <si>
    <t>Eletroduto pvc flexivel corrugado, cor amarela, de 25 mm</t>
  </si>
  <si>
    <t>Eletroduto/duto PEAD flexível parede simples, corrugação helicoidal, cor preta, sem rosca, de 2",  para cabeamento subterraneo (NBR 15715)</t>
  </si>
  <si>
    <t>Caixa octogonal de fundo móvel, em PVC, de 4" x 4", para eletroduto flexível corrugado</t>
  </si>
  <si>
    <t>Caixa de passagem, em PVC, de 4" x 2", para eletroduto flexível corrugado</t>
  </si>
  <si>
    <t>Tomada 2p+t 10a, 250v, conjunto montado para embutir 4" x 2" (placa + suporte + modulo)</t>
  </si>
  <si>
    <t>EST-01</t>
  </si>
  <si>
    <t>PRANCHA 2.3</t>
  </si>
  <si>
    <t xml:space="preserve"> PRANCHA 2.3</t>
  </si>
  <si>
    <t>PLATIBANDA</t>
  </si>
  <si>
    <t xml:space="preserve"> PRANCHA 2.1</t>
  </si>
  <si>
    <t>PIN-01</t>
  </si>
  <si>
    <t>ADM-01</t>
  </si>
  <si>
    <t>ADMINISTRAÇÃO LOCAL INCLUSIVE VIGILÂNCIA</t>
  </si>
  <si>
    <t xml:space="preserve">ENCARREGADO </t>
  </si>
  <si>
    <t>I.S. Fem.</t>
  </si>
  <si>
    <t>I.S. Masc.</t>
  </si>
  <si>
    <t>I.S. Fem. PNE</t>
  </si>
  <si>
    <t>I.S. Masc. PNE</t>
  </si>
  <si>
    <t>I.S. Consultório 1</t>
  </si>
  <si>
    <t>Conforme áreas apresentadas em projeto arquitetônico - prancha 2.1</t>
  </si>
  <si>
    <t>2,70+1,35+3,64+4,20+4,56 (dois lados da escada)</t>
  </si>
  <si>
    <t>Guarda corpo de tubo de ferro galvanizado, diâm. 3" e 2", h=0.8 m inclusive pintura a óleo ou esmalte</t>
  </si>
  <si>
    <t>Corrimão de tubo de ferro galvanizado diâmetro 3" com chumbadores a cada 1.50m, inclusive pintura a óleo ou esmalte</t>
  </si>
  <si>
    <t xml:space="preserve">Placa fotoluminescente - 380 X 190 mm </t>
  </si>
  <si>
    <t>QUANTIDADES CONFORME PROJETOS DE INCÊNDIO- PRANCHAS 5.1</t>
  </si>
  <si>
    <t>Placa fotoluminescente - 380 X 190 mm</t>
  </si>
  <si>
    <t>Un.</t>
  </si>
  <si>
    <t>S2</t>
  </si>
  <si>
    <t>S8</t>
  </si>
  <si>
    <t>S12</t>
  </si>
  <si>
    <t>E5</t>
  </si>
  <si>
    <t>S3</t>
  </si>
  <si>
    <t>M1</t>
  </si>
  <si>
    <t>Luminária de Emergência - 30 Led - Bivolt</t>
  </si>
  <si>
    <t>Paredes Externas</t>
  </si>
  <si>
    <t xml:space="preserve">Lateral Esquerda </t>
  </si>
  <si>
    <t>Lateral Direita</t>
  </si>
  <si>
    <t>Frente</t>
  </si>
  <si>
    <t>Paredes Internas</t>
  </si>
  <si>
    <t>8,24+8,24+2,26+7,05+3,95</t>
  </si>
  <si>
    <t>3,45+1,14+0,29+2,75+3,04+1,33+3,31+3,31+3,46+3,46+14,70</t>
  </si>
  <si>
    <t>Reservatório de polietileno de 2000L, inclusive peça de apoio 6x16 cm, exclusive flanges e torneira de bóia</t>
  </si>
  <si>
    <t>Bacia sanitária de louça branca, com caixa acoplada duplo acionamento, marca de ref. Deca Linha Ravena ou equivalente, inclusive assento plástico e acessórios de fixação</t>
  </si>
  <si>
    <t>Adaptador com flange 20mmx1/2</t>
  </si>
  <si>
    <t>Ponto com registro de pressão (chuveiro, caixa de descarga, etc...)</t>
  </si>
  <si>
    <t>Disjuntor tipo DIN/IEC, tripolar 63A</t>
  </si>
  <si>
    <t>Tomada padrão brasileiro linha branca, NBR 14136 2 polos + terra 20A/250V, com placa 4x2"</t>
  </si>
  <si>
    <t>Interruptor simples + tomada 2P+T 10A, 250v, conjunto montado para embutir 4" x 2" (placa + suporte + módulos)</t>
  </si>
  <si>
    <t>Interruptor simples 10A, 250v, conjunto montado para embutir 4" x 2" (placa + suporte + módulo)</t>
  </si>
  <si>
    <t>Luminária led retangular bivolt, luz branca, 18 w</t>
  </si>
  <si>
    <t>Interruptor três polos 10a, 250v, conjunto montado para embutir 4" x 2" (placa + suporte + modulo)</t>
  </si>
  <si>
    <t>Cabo de cobre, flexivel, classe 4 ou 5, isolacao em pvc/a, antichama BWF-B, cobertura PVC-ST1, antichama BFW-B, 1 condutor, 0,6/1 kv, secao nominal 70 mm2</t>
  </si>
  <si>
    <t>Cabo de cobre, flexivel, classe 4 ou 5, isolacao em pvc/a, antichama BWF-B, cobertura PVC-ST1, antichama BFW-B, 1 condutor, 0,6/1 kv, secao nominal 16 mm2</t>
  </si>
  <si>
    <t>CABEAMENTO ESTRUTURADO</t>
  </si>
  <si>
    <t>Cabo de rede cat 5 ou superior</t>
  </si>
  <si>
    <t>Conector fêmea RJ 45, cat 5 ou superior</t>
  </si>
  <si>
    <t>Caixa 4x4" com placa e tampa para uma tomada de rede RJ 45 e outra de telefone RJ11</t>
  </si>
  <si>
    <t>Calha perfurada 100x100 mm sem tampa</t>
  </si>
  <si>
    <t xml:space="preserve">Rack industrial 40U </t>
  </si>
  <si>
    <t>Mão francesa reforçada 15 x 15 mm</t>
  </si>
  <si>
    <t>PEDREIRO</t>
  </si>
  <si>
    <t>SERVENTE</t>
  </si>
  <si>
    <t>Obs.:  Considerando 50%</t>
  </si>
  <si>
    <t xml:space="preserve">Obs.: quantidade reaproveitada </t>
  </si>
  <si>
    <t>Demolição de piso revestido com cerâmica</t>
  </si>
  <si>
    <t>DEMOLIÇÃO DE PISO REVESTIDO COM CERÂMICA</t>
  </si>
  <si>
    <t>Copa</t>
  </si>
  <si>
    <t>DML</t>
  </si>
  <si>
    <t>Expurgo</t>
  </si>
  <si>
    <t>Sala de Curativos</t>
  </si>
  <si>
    <t>Abrigo Compressor</t>
  </si>
  <si>
    <t>Espera</t>
  </si>
  <si>
    <t>Fisioterapia</t>
  </si>
  <si>
    <t>Circulação</t>
  </si>
  <si>
    <t>Consultório 2</t>
  </si>
  <si>
    <t>Sala Procedimentos / Coleta</t>
  </si>
  <si>
    <t>Consultório Odontológico</t>
  </si>
  <si>
    <t>Prancha 2,1</t>
  </si>
  <si>
    <t>Área Nova</t>
  </si>
  <si>
    <t>I.S Fem</t>
  </si>
  <si>
    <t>I.S Masc</t>
  </si>
  <si>
    <t>I.S. PNE Fem</t>
  </si>
  <si>
    <t>I.S. PNE Masc</t>
  </si>
  <si>
    <t>I.S. Fem</t>
  </si>
  <si>
    <t>I.S. Consultório</t>
  </si>
  <si>
    <t>Consultório 1</t>
  </si>
  <si>
    <t>Área Existente</t>
  </si>
  <si>
    <t>unid.</t>
  </si>
  <si>
    <t>BANCADAS</t>
  </si>
  <si>
    <t>Sala de Procedimentos / Coleta</t>
  </si>
  <si>
    <t xml:space="preserve">Estaca escavada mecanicamente,  com 30cm de diâmetro, até 9 m de comprimento, concreto lançado manualmente </t>
  </si>
  <si>
    <t xml:space="preserve">ESTACA ESCAVADA MECANICAMENTE,  COM 30CM DE DIÂMETRO, ATÉ 9 M DE COMPRIMENTO, CONCRETO LANÇADO MANUALMENTE </t>
  </si>
  <si>
    <t>M³</t>
  </si>
  <si>
    <t>FORNECIMENTO, PREPARO E APLICAÇÃO DE CONCRETO FCK=15 MPA (BRITA 1 E 2)</t>
  </si>
  <si>
    <t>ARGAM COLANTE FLEXIVEL AC III P/ ASSENT. PORCELANATO E PEDRAS</t>
  </si>
  <si>
    <t>GRANITO CINZA ANDORINHA LARG.15CM,ESP.3CM</t>
  </si>
  <si>
    <t>Reunião / ACS</t>
  </si>
  <si>
    <t>CABEAMENTO ESTRUTURADP</t>
  </si>
  <si>
    <t xml:space="preserve">MATERIAIS CONFORME PLANILHA ANEXA AO PROJETO </t>
  </si>
  <si>
    <t>Forro PVC branco L = 20 cm, frisado, colocado</t>
  </si>
  <si>
    <t>Placa para inauguração de obra em alumínio polido e=4mm, dimensões 40 x 50 cm, gravação em baixo inclusive pintura a óleo ou esmalte relevo, inclusive pintura e fixaçã</t>
  </si>
  <si>
    <t>Remoção de forro PVC</t>
  </si>
  <si>
    <r>
      <t xml:space="preserve">BDI: </t>
    </r>
    <r>
      <rPr>
        <sz val="10"/>
        <rFont val="Arial"/>
        <family val="2"/>
      </rPr>
      <t>30,90% - Serviços (materiais e instalações)</t>
    </r>
    <r>
      <rPr>
        <b/>
        <sz val="10"/>
        <rFont val="Arial"/>
        <family val="2"/>
      </rPr>
      <t xml:space="preserve">
PRAZO DA OBRA: 9</t>
    </r>
    <r>
      <rPr>
        <sz val="10"/>
        <rFont val="Arial"/>
        <family val="2"/>
      </rPr>
      <t xml:space="preserve"> meses</t>
    </r>
    <r>
      <rPr>
        <b/>
        <sz val="10"/>
        <rFont val="Arial"/>
        <family val="2"/>
      </rPr>
      <t xml:space="preserve">
DATA BASE: </t>
    </r>
    <r>
      <rPr>
        <sz val="10"/>
        <rFont val="Arial"/>
        <family val="2"/>
      </rPr>
      <t>Setembro/2018</t>
    </r>
  </si>
  <si>
    <t>73933/001</t>
  </si>
  <si>
    <t>Porta de ferro, de abrir, tipo grade com chapa,com guarnições</t>
  </si>
  <si>
    <t>071104</t>
  </si>
  <si>
    <t>Portão de ferro de abrir em barra chata, inclusive chumbamento</t>
  </si>
  <si>
    <t xml:space="preserve">Administração Local </t>
  </si>
  <si>
    <t>94560</t>
  </si>
  <si>
    <t>09.03</t>
  </si>
  <si>
    <t>10.05</t>
  </si>
  <si>
    <t>13.05</t>
  </si>
  <si>
    <t>13.06</t>
  </si>
  <si>
    <t>13.07</t>
  </si>
  <si>
    <t>13.08</t>
  </si>
  <si>
    <t>13.09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</si>
  <si>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</si>
  <si>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</si>
  <si>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</si>
  <si>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</si>
  <si>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</si>
  <si>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</si>
  <si>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</si>
  <si>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</si>
  <si>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</si>
  <si>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</si>
  <si>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</si>
  <si>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</si>
  <si>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</si>
  <si>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</si>
  <si>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</si>
  <si>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</si>
  <si>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</si>
  <si>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</si>
  <si>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15.01.01</t>
  </si>
  <si>
    <t>15.01.02</t>
  </si>
  <si>
    <t>15.01.03</t>
  </si>
  <si>
    <t>15.01.04</t>
  </si>
  <si>
    <t>15.01.05</t>
  </si>
  <si>
    <t>15.01.06</t>
  </si>
  <si>
    <t>15.02.01</t>
  </si>
  <si>
    <t>15.02.02</t>
  </si>
  <si>
    <t>15.02.03</t>
  </si>
  <si>
    <t>15.02.04</t>
  </si>
  <si>
    <t>16.01.01</t>
  </si>
  <si>
    <t>17.03</t>
  </si>
  <si>
    <t>17.04</t>
  </si>
  <si>
    <t>17.05</t>
  </si>
  <si>
    <t>17.06</t>
  </si>
  <si>
    <t>17.07</t>
  </si>
  <si>
    <t>17.08</t>
  </si>
  <si>
    <t>17.09</t>
  </si>
  <si>
    <t>I.S. Consultorio 1</t>
  </si>
  <si>
    <t>I.S.  Fem  e  I.S Masc (externo)</t>
  </si>
  <si>
    <t xml:space="preserve">I.S.  Fem  e  I.S Masc </t>
  </si>
  <si>
    <t>I.S.PNE Fem. E I.S. PNE Masc.</t>
  </si>
  <si>
    <t>PORTA DE FERRO, DE ABRIR, TIPO GRADE COM CHAPA, COM GUARNIÇÕES</t>
  </si>
  <si>
    <t>PORTÃO DE FERRO DE ABRIR EM BARRA CHATA, INCLUSIVE CHUMBAMENTO</t>
  </si>
  <si>
    <t>19.02</t>
  </si>
  <si>
    <t>19.03</t>
  </si>
  <si>
    <t>20.04</t>
  </si>
  <si>
    <t>AUXILIAR DE ESCRITÓRIO</t>
  </si>
  <si>
    <t>PIS-01</t>
  </si>
  <si>
    <t>PASSEIO COM PISO TÁTIL DE ALERTA / DIRECIONAL</t>
  </si>
  <si>
    <t>AJUDANTE</t>
  </si>
  <si>
    <t>APILOAMENTO DO FUNDO DE VALO COM MACO DE 30 A 60 KG</t>
  </si>
  <si>
    <t>TABUA DE MADEIRA APARELHADA *2,5 X 15* CM, MACARANDUBA, ANGELIM OU EQUIVALENTE</t>
  </si>
  <si>
    <t>FORNECIMENTO, PREPARO E APLICAÇÃO DE CONCRETO FCK=20 MPA (BRITA 1 E 2) - (5% DE PERDAS JÁ INCLUÍDO NO  CUSTO)</t>
  </si>
  <si>
    <t>ARGAMASSA COLANTE AC-II</t>
  </si>
  <si>
    <t>PAS-01</t>
  </si>
  <si>
    <t>Passeio com piso tátil de alerta / direcional</t>
  </si>
  <si>
    <t>12.05</t>
  </si>
  <si>
    <t>LADRILHO HIDRAULICO, *30 X 30* CM, E= 2 CM, TATIL ALERTA OU DIRECIONAL, AMARELO</t>
  </si>
  <si>
    <t>EXECUÇÃO DE PASSEIO (CALÇADA) OU PISO DE CONCRETO COM CONCRETO MOLDADO IN LOCO, FEITO EM OBRA, ACABAMENTO CONVENCIONAL, NÃO ARMADO</t>
  </si>
  <si>
    <t>Lateral</t>
  </si>
  <si>
    <t>Frontal</t>
  </si>
  <si>
    <t>COTAÇÃO</t>
  </si>
  <si>
    <t>QUINHENTOS E SESSENTA E NOVE MIL, TREZENTOS E NOVE REAIS E NOVENTA E NOVE CENTAVOS</t>
  </si>
  <si>
    <t>03.08</t>
  </si>
  <si>
    <t>TOTAL ITEM 09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</si>
</sst>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&quot;R$ &quot;#,##0.00"/>
    <numFmt numFmtId="175" formatCode="0.000"/>
    <numFmt numFmtId="176" formatCode="0.0%"/>
    <numFmt numFmtId="177" formatCode="0.0000"/>
    <numFmt numFmtId="178" formatCode="0.000%"/>
    <numFmt numFmtId="179" formatCode="0.0000%"/>
    <numFmt numFmtId="180" formatCode="_(* #,##0.00_);_(* \(#,##0.00\);_(* \-??_);_(@_)"/>
    <numFmt numFmtId="181" formatCode="&quot;R$&quot;\ #,##0.00"/>
    <numFmt numFmtId="182" formatCode="0.00000%"/>
    <numFmt numFmtId="183" formatCode="000000"/>
    <numFmt numFmtId="184" formatCode="###,###,###,##0.00"/>
    <numFmt numFmtId="185" formatCode="0.0000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86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Calibri"/>
      <family val="2"/>
    </font>
    <font>
      <i/>
      <sz val="11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Segoe U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Open Sans"/>
      <family val="2"/>
    </font>
    <font>
      <b/>
      <sz val="11"/>
      <color indexed="8"/>
      <name val="Arial"/>
      <family val="2"/>
    </font>
    <font>
      <sz val="11"/>
      <color indexed="26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2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hair"/>
      <top/>
      <bottom style="hair"/>
    </border>
    <border>
      <left style="medium"/>
      <right/>
      <top/>
      <bottom/>
    </border>
    <border>
      <left style="hair"/>
      <right style="hair"/>
      <top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hair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medium"/>
      <top/>
      <bottom style="hair"/>
    </border>
    <border>
      <left>
        <color indexed="63"/>
      </left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hair"/>
    </border>
    <border>
      <left style="medium"/>
      <right style="thin"/>
      <top style="thin"/>
      <bottom style="hair"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hair"/>
      <bottom style="hair"/>
    </border>
    <border>
      <left style="medium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medium"/>
      <bottom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62" fillId="23" borderId="0" applyNumberFormat="0" applyBorder="0" applyAlignment="0" applyProtection="0"/>
    <xf numFmtId="0" fontId="10" fillId="24" borderId="0" applyNumberFormat="0" applyBorder="0" applyAlignment="0" applyProtection="0"/>
    <xf numFmtId="0" fontId="62" fillId="25" borderId="0" applyNumberFormat="0" applyBorder="0" applyAlignment="0" applyProtection="0"/>
    <xf numFmtId="0" fontId="10" fillId="17" borderId="0" applyNumberFormat="0" applyBorder="0" applyAlignment="0" applyProtection="0"/>
    <xf numFmtId="0" fontId="62" fillId="18" borderId="0" applyNumberFormat="0" applyBorder="0" applyAlignment="0" applyProtection="0"/>
    <xf numFmtId="0" fontId="10" fillId="19" borderId="0" applyNumberFormat="0" applyBorder="0" applyAlignment="0" applyProtection="0"/>
    <xf numFmtId="0" fontId="62" fillId="26" borderId="0" applyNumberFormat="0" applyBorder="0" applyAlignment="0" applyProtection="0"/>
    <xf numFmtId="0" fontId="10" fillId="27" borderId="0" applyNumberFormat="0" applyBorder="0" applyAlignment="0" applyProtection="0"/>
    <xf numFmtId="0" fontId="62" fillId="28" borderId="0" applyNumberFormat="0" applyBorder="0" applyAlignment="0" applyProtection="0"/>
    <xf numFmtId="0" fontId="10" fillId="29" borderId="0" applyNumberFormat="0" applyBorder="0" applyAlignment="0" applyProtection="0"/>
    <xf numFmtId="0" fontId="62" fillId="30" borderId="0" applyNumberFormat="0" applyBorder="0" applyAlignment="0" applyProtection="0"/>
    <xf numFmtId="0" fontId="10" fillId="31" borderId="0" applyNumberFormat="0" applyBorder="0" applyAlignment="0" applyProtection="0"/>
    <xf numFmtId="0" fontId="63" fillId="32" borderId="0" applyNumberFormat="0" applyBorder="0" applyAlignment="0" applyProtection="0"/>
    <xf numFmtId="0" fontId="11" fillId="7" borderId="0" applyNumberFormat="0" applyBorder="0" applyAlignment="0" applyProtection="0"/>
    <xf numFmtId="0" fontId="64" fillId="33" borderId="1" applyNumberFormat="0" applyAlignment="0" applyProtection="0"/>
    <xf numFmtId="0" fontId="12" fillId="34" borderId="2" applyNumberFormat="0" applyAlignment="0" applyProtection="0"/>
    <xf numFmtId="0" fontId="65" fillId="35" borderId="3" applyNumberFormat="0" applyAlignment="0" applyProtection="0"/>
    <xf numFmtId="0" fontId="13" fillId="36" borderId="4" applyNumberFormat="0" applyAlignment="0" applyProtection="0"/>
    <xf numFmtId="0" fontId="66" fillId="0" borderId="5" applyNumberFormat="0" applyFill="0" applyAlignment="0" applyProtection="0"/>
    <xf numFmtId="0" fontId="14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2" fillId="37" borderId="0" applyNumberFormat="0" applyBorder="0" applyAlignment="0" applyProtection="0"/>
    <xf numFmtId="0" fontId="10" fillId="38" borderId="0" applyNumberFormat="0" applyBorder="0" applyAlignment="0" applyProtection="0"/>
    <xf numFmtId="0" fontId="62" fillId="39" borderId="0" applyNumberFormat="0" applyBorder="0" applyAlignment="0" applyProtection="0"/>
    <xf numFmtId="0" fontId="10" fillId="40" borderId="0" applyNumberFormat="0" applyBorder="0" applyAlignment="0" applyProtection="0"/>
    <xf numFmtId="0" fontId="62" fillId="41" borderId="0" applyNumberFormat="0" applyBorder="0" applyAlignment="0" applyProtection="0"/>
    <xf numFmtId="0" fontId="10" fillId="42" borderId="0" applyNumberFormat="0" applyBorder="0" applyAlignment="0" applyProtection="0"/>
    <xf numFmtId="0" fontId="62" fillId="26" borderId="0" applyNumberFormat="0" applyBorder="0" applyAlignment="0" applyProtection="0"/>
    <xf numFmtId="0" fontId="10" fillId="27" borderId="0" applyNumberFormat="0" applyBorder="0" applyAlignment="0" applyProtection="0"/>
    <xf numFmtId="0" fontId="62" fillId="43" borderId="0" applyNumberFormat="0" applyBorder="0" applyAlignment="0" applyProtection="0"/>
    <xf numFmtId="0" fontId="10" fillId="29" borderId="0" applyNumberFormat="0" applyBorder="0" applyAlignment="0" applyProtection="0"/>
    <xf numFmtId="0" fontId="62" fillId="44" borderId="0" applyNumberFormat="0" applyBorder="0" applyAlignment="0" applyProtection="0"/>
    <xf numFmtId="0" fontId="10" fillId="45" borderId="0" applyNumberFormat="0" applyBorder="0" applyAlignment="0" applyProtection="0"/>
    <xf numFmtId="0" fontId="67" fillId="46" borderId="1" applyNumberFormat="0" applyAlignment="0" applyProtection="0"/>
    <xf numFmtId="0" fontId="15" fillId="13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47" borderId="0" applyNumberFormat="0" applyBorder="0" applyAlignment="0" applyProtection="0"/>
    <xf numFmtId="0" fontId="16" fillId="5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9" fillId="48" borderId="0" applyNumberFormat="0" applyBorder="0" applyAlignment="0" applyProtection="0"/>
    <xf numFmtId="0" fontId="17" fillId="49" borderId="0" applyNumberFormat="0" applyBorder="0" applyAlignment="0" applyProtection="0"/>
    <xf numFmtId="0" fontId="7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0" borderId="7" applyNumberFormat="0" applyFont="0" applyAlignment="0" applyProtection="0"/>
    <xf numFmtId="0" fontId="3" fillId="51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1" fillId="33" borderId="9" applyNumberFormat="0" applyAlignment="0" applyProtection="0"/>
    <xf numFmtId="0" fontId="18" fillId="34" borderId="10" applyNumberFormat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173" fontId="0" fillId="0" borderId="0" applyFont="0" applyFill="0" applyBorder="0" applyAlignment="0" applyProtection="0"/>
    <xf numFmtId="180" fontId="3" fillId="0" borderId="0" applyFill="0" applyBorder="0" applyAlignment="0" applyProtection="0"/>
  </cellStyleXfs>
  <cellXfs count="69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89" applyFont="1" applyFill="1" applyBorder="1" applyAlignment="1">
      <alignment vertical="center" wrapText="1"/>
      <protection/>
    </xf>
    <xf numFmtId="49" fontId="24" fillId="0" borderId="16" xfId="89" applyNumberFormat="1" applyFont="1" applyFill="1" applyBorder="1" applyAlignment="1">
      <alignment horizontal="right" vertical="center" wrapText="1"/>
      <protection/>
    </xf>
    <xf numFmtId="49" fontId="24" fillId="0" borderId="17" xfId="89" applyNumberFormat="1" applyFont="1" applyFill="1" applyBorder="1" applyAlignment="1">
      <alignment horizontal="right" vertical="center" wrapText="1"/>
      <protection/>
    </xf>
    <xf numFmtId="0" fontId="24" fillId="0" borderId="17" xfId="89" applyFont="1" applyFill="1" applyBorder="1" applyAlignment="1">
      <alignment horizontal="left" vertical="center" wrapText="1"/>
      <protection/>
    </xf>
    <xf numFmtId="49" fontId="3" fillId="0" borderId="18" xfId="89" applyNumberFormat="1" applyFont="1" applyFill="1" applyBorder="1" applyAlignment="1">
      <alignment horizontal="right" vertical="center" wrapText="1"/>
      <protection/>
    </xf>
    <xf numFmtId="49" fontId="3" fillId="0" borderId="19" xfId="89" applyNumberFormat="1" applyFont="1" applyFill="1" applyBorder="1" applyAlignment="1">
      <alignment horizontal="right" vertical="center" wrapText="1"/>
      <protection/>
    </xf>
    <xf numFmtId="0" fontId="3" fillId="0" borderId="19" xfId="89" applyFont="1" applyFill="1" applyBorder="1" applyAlignment="1">
      <alignment horizontal="left" vertical="center" wrapText="1"/>
      <protection/>
    </xf>
    <xf numFmtId="0" fontId="24" fillId="0" borderId="19" xfId="89" applyFont="1" applyFill="1" applyBorder="1" applyAlignment="1">
      <alignment horizontal="right" vertical="center" wrapText="1"/>
      <protection/>
    </xf>
    <xf numFmtId="49" fontId="24" fillId="0" borderId="18" xfId="89" applyNumberFormat="1" applyFont="1" applyFill="1" applyBorder="1" applyAlignment="1">
      <alignment horizontal="right" vertical="center"/>
      <protection/>
    </xf>
    <xf numFmtId="49" fontId="24" fillId="0" borderId="19" xfId="89" applyNumberFormat="1" applyFont="1" applyFill="1" applyBorder="1" applyAlignment="1">
      <alignment horizontal="right" vertical="center"/>
      <protection/>
    </xf>
    <xf numFmtId="0" fontId="24" fillId="0" borderId="19" xfId="89" applyFont="1" applyFill="1" applyBorder="1" applyAlignment="1">
      <alignment horizontal="left" vertical="center" wrapText="1"/>
      <protection/>
    </xf>
    <xf numFmtId="0" fontId="24" fillId="0" borderId="19" xfId="89" applyFont="1" applyFill="1" applyBorder="1" applyAlignment="1">
      <alignment horizontal="center" vertical="center" wrapText="1"/>
      <protection/>
    </xf>
    <xf numFmtId="0" fontId="3" fillId="0" borderId="0" xfId="89" applyFont="1" applyFill="1" applyAlignment="1">
      <alignment vertical="center" wrapText="1"/>
      <protection/>
    </xf>
    <xf numFmtId="49" fontId="3" fillId="0" borderId="18" xfId="89" applyNumberFormat="1" applyFont="1" applyFill="1" applyBorder="1" applyAlignment="1">
      <alignment horizontal="right" vertical="center"/>
      <protection/>
    </xf>
    <xf numFmtId="49" fontId="3" fillId="0" borderId="19" xfId="89" applyNumberFormat="1" applyFont="1" applyFill="1" applyBorder="1" applyAlignment="1">
      <alignment horizontal="right" vertical="center"/>
      <protection/>
    </xf>
    <xf numFmtId="173" fontId="3" fillId="0" borderId="19" xfId="122" applyFont="1" applyFill="1" applyBorder="1" applyAlignment="1">
      <alignment horizontal="center" vertical="center" wrapText="1"/>
    </xf>
    <xf numFmtId="173" fontId="24" fillId="0" borderId="19" xfId="122" applyFont="1" applyFill="1" applyBorder="1" applyAlignment="1">
      <alignment horizontal="center" vertical="center" wrapText="1"/>
    </xf>
    <xf numFmtId="43" fontId="3" fillId="0" borderId="0" xfId="89" applyNumberFormat="1" applyFont="1" applyFill="1" applyAlignment="1">
      <alignment vertical="center" wrapText="1"/>
      <protection/>
    </xf>
    <xf numFmtId="0" fontId="3" fillId="0" borderId="19" xfId="0" applyFont="1" applyBorder="1" applyAlignment="1">
      <alignment vertical="center" wrapText="1"/>
    </xf>
    <xf numFmtId="49" fontId="3" fillId="0" borderId="20" xfId="89" applyNumberFormat="1" applyFont="1" applyFill="1" applyBorder="1" applyAlignment="1">
      <alignment horizontal="right" vertical="center"/>
      <protection/>
    </xf>
    <xf numFmtId="173" fontId="3" fillId="0" borderId="21" xfId="122" applyFont="1" applyFill="1" applyBorder="1" applyAlignment="1">
      <alignment horizontal="center" vertical="center" wrapText="1"/>
    </xf>
    <xf numFmtId="49" fontId="24" fillId="0" borderId="18" xfId="89" applyNumberFormat="1" applyFont="1" applyFill="1" applyBorder="1" applyAlignment="1">
      <alignment horizontal="right" vertical="center" wrapText="1"/>
      <protection/>
    </xf>
    <xf numFmtId="49" fontId="24" fillId="0" borderId="19" xfId="89" applyNumberFormat="1" applyFont="1" applyFill="1" applyBorder="1" applyAlignment="1">
      <alignment horizontal="right" vertical="center" wrapText="1"/>
      <protection/>
    </xf>
    <xf numFmtId="0" fontId="24" fillId="0" borderId="0" xfId="89" applyFont="1" applyFill="1" applyBorder="1" applyAlignment="1">
      <alignment vertical="center" wrapText="1"/>
      <protection/>
    </xf>
    <xf numFmtId="0" fontId="3" fillId="0" borderId="0" xfId="89" applyFont="1" applyFill="1" applyAlignment="1">
      <alignment horizontal="center" vertical="center" wrapText="1"/>
      <protection/>
    </xf>
    <xf numFmtId="0" fontId="3" fillId="52" borderId="22" xfId="0" applyFont="1" applyFill="1" applyBorder="1" applyAlignment="1">
      <alignment horizontal="center" vertical="center" wrapText="1"/>
    </xf>
    <xf numFmtId="0" fontId="24" fillId="52" borderId="22" xfId="0" applyFont="1" applyFill="1" applyBorder="1" applyAlignment="1">
      <alignment horizontal="center" vertical="center" wrapText="1"/>
    </xf>
    <xf numFmtId="0" fontId="24" fillId="52" borderId="0" xfId="0" applyFont="1" applyFill="1" applyBorder="1" applyAlignment="1">
      <alignment horizontal="center" vertical="center" wrapText="1"/>
    </xf>
    <xf numFmtId="0" fontId="24" fillId="52" borderId="23" xfId="0" applyFont="1" applyFill="1" applyBorder="1" applyAlignment="1">
      <alignment horizontal="left" vertical="center"/>
    </xf>
    <xf numFmtId="0" fontId="24" fillId="52" borderId="24" xfId="0" applyFont="1" applyFill="1" applyBorder="1" applyAlignment="1">
      <alignment horizontal="left" vertical="center"/>
    </xf>
    <xf numFmtId="0" fontId="24" fillId="52" borderId="2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52" borderId="19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4" fillId="0" borderId="18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49" fontId="74" fillId="0" borderId="18" xfId="0" applyNumberFormat="1" applyFont="1" applyBorder="1" applyAlignment="1">
      <alignment horizontal="center" vertical="center"/>
    </xf>
    <xf numFmtId="0" fontId="0" fillId="52" borderId="26" xfId="0" applyFont="1" applyFill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7" xfId="0" applyNumberFormat="1" applyFont="1" applyBorder="1" applyAlignment="1">
      <alignment horizontal="center" vertical="center"/>
    </xf>
    <xf numFmtId="0" fontId="75" fillId="53" borderId="28" xfId="0" applyFont="1" applyFill="1" applyBorder="1" applyAlignment="1">
      <alignment horizontal="center" vertical="center"/>
    </xf>
    <xf numFmtId="0" fontId="75" fillId="53" borderId="29" xfId="0" applyFont="1" applyFill="1" applyBorder="1" applyAlignment="1">
      <alignment horizontal="center" vertical="center"/>
    </xf>
    <xf numFmtId="49" fontId="74" fillId="0" borderId="18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right"/>
    </xf>
    <xf numFmtId="2" fontId="0" fillId="0" borderId="31" xfId="0" applyNumberFormat="1" applyFont="1" applyBorder="1" applyAlignment="1">
      <alignment/>
    </xf>
    <xf numFmtId="2" fontId="0" fillId="0" borderId="3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53" borderId="28" xfId="0" applyFont="1" applyFill="1" applyBorder="1" applyAlignment="1">
      <alignment horizontal="center" vertical="center"/>
    </xf>
    <xf numFmtId="0" fontId="0" fillId="53" borderId="29" xfId="0" applyFont="1" applyFill="1" applyBorder="1" applyAlignment="1">
      <alignment horizontal="center" vertical="center"/>
    </xf>
    <xf numFmtId="0" fontId="0" fillId="52" borderId="0" xfId="0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52" borderId="32" xfId="0" applyFont="1" applyFill="1" applyBorder="1" applyAlignment="1">
      <alignment/>
    </xf>
    <xf numFmtId="2" fontId="0" fillId="0" borderId="33" xfId="0" applyNumberFormat="1" applyFont="1" applyBorder="1" applyAlignment="1">
      <alignment/>
    </xf>
    <xf numFmtId="0" fontId="0" fillId="0" borderId="25" xfId="0" applyFont="1" applyBorder="1" applyAlignment="1">
      <alignment horizontal="right" wrapText="1"/>
    </xf>
    <xf numFmtId="49" fontId="0" fillId="0" borderId="18" xfId="0" applyNumberFormat="1" applyFont="1" applyFill="1" applyBorder="1" applyAlignment="1">
      <alignment horizontal="center" vertical="center"/>
    </xf>
    <xf numFmtId="49" fontId="74" fillId="0" borderId="18" xfId="0" applyNumberFormat="1" applyFont="1" applyFill="1" applyBorder="1" applyAlignment="1" quotePrefix="1">
      <alignment horizontal="center" vertical="center"/>
    </xf>
    <xf numFmtId="0" fontId="74" fillId="52" borderId="20" xfId="0" applyFont="1" applyFill="1" applyBorder="1" applyAlignment="1">
      <alignment vertical="center" wrapText="1"/>
    </xf>
    <xf numFmtId="0" fontId="0" fillId="52" borderId="29" xfId="0" applyFont="1" applyFill="1" applyBorder="1" applyAlignment="1">
      <alignment vertical="center" wrapText="1"/>
    </xf>
    <xf numFmtId="0" fontId="0" fillId="0" borderId="30" xfId="0" applyFont="1" applyBorder="1" applyAlignment="1">
      <alignment horizontal="right" wrapText="1"/>
    </xf>
    <xf numFmtId="2" fontId="0" fillId="0" borderId="34" xfId="0" applyNumberFormat="1" applyFont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 horizontal="right" vertical="center" wrapText="1"/>
    </xf>
    <xf numFmtId="0" fontId="0" fillId="0" borderId="35" xfId="0" applyFont="1" applyFill="1" applyBorder="1" applyAlignment="1">
      <alignment horizontal="right"/>
    </xf>
    <xf numFmtId="49" fontId="0" fillId="0" borderId="2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right" wrapText="1"/>
    </xf>
    <xf numFmtId="0" fontId="74" fillId="0" borderId="2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2" fontId="0" fillId="0" borderId="36" xfId="0" applyNumberFormat="1" applyFont="1" applyBorder="1" applyAlignment="1">
      <alignment/>
    </xf>
    <xf numFmtId="2" fontId="0" fillId="0" borderId="19" xfId="0" applyNumberFormat="1" applyFont="1" applyBorder="1" applyAlignment="1">
      <alignment horizontal="center" vertical="center"/>
    </xf>
    <xf numFmtId="0" fontId="0" fillId="52" borderId="37" xfId="0" applyFont="1" applyFill="1" applyBorder="1" applyAlignment="1">
      <alignment/>
    </xf>
    <xf numFmtId="0" fontId="0" fillId="52" borderId="38" xfId="0" applyFont="1" applyFill="1" applyBorder="1" applyAlignment="1">
      <alignment/>
    </xf>
    <xf numFmtId="0" fontId="0" fillId="53" borderId="39" xfId="0" applyFont="1" applyFill="1" applyBorder="1" applyAlignment="1">
      <alignment horizontal="center" vertical="center"/>
    </xf>
    <xf numFmtId="0" fontId="75" fillId="53" borderId="40" xfId="0" applyFont="1" applyFill="1" applyBorder="1" applyAlignment="1">
      <alignment horizontal="center" vertical="center"/>
    </xf>
    <xf numFmtId="0" fontId="0" fillId="53" borderId="40" xfId="0" applyFont="1" applyFill="1" applyBorder="1" applyAlignment="1">
      <alignment horizontal="center" vertical="center"/>
    </xf>
    <xf numFmtId="0" fontId="76" fillId="0" borderId="30" xfId="0" applyFont="1" applyBorder="1" applyAlignment="1">
      <alignment horizontal="right"/>
    </xf>
    <xf numFmtId="4" fontId="74" fillId="0" borderId="41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4" fontId="74" fillId="0" borderId="42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90" applyFont="1" applyFill="1" applyBorder="1" applyAlignment="1">
      <alignment horizontal="left" vertical="center" wrapText="1"/>
      <protection/>
    </xf>
    <xf numFmtId="49" fontId="76" fillId="0" borderId="18" xfId="0" applyNumberFormat="1" applyFont="1" applyBorder="1" applyAlignment="1">
      <alignment horizontal="center" vertical="center"/>
    </xf>
    <xf numFmtId="0" fontId="77" fillId="0" borderId="30" xfId="0" applyFont="1" applyBorder="1" applyAlignment="1">
      <alignment horizontal="right"/>
    </xf>
    <xf numFmtId="49" fontId="76" fillId="0" borderId="37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" fontId="74" fillId="0" borderId="41" xfId="0" applyNumberFormat="1" applyFont="1" applyFill="1" applyBorder="1" applyAlignment="1">
      <alignment horizontal="center" vertical="center" wrapText="1"/>
    </xf>
    <xf numFmtId="4" fontId="0" fillId="0" borderId="44" xfId="0" applyNumberFormat="1" applyFont="1" applyFill="1" applyBorder="1" applyAlignment="1">
      <alignment horizontal="center" vertical="center"/>
    </xf>
    <xf numFmtId="4" fontId="75" fillId="53" borderId="45" xfId="0" applyNumberFormat="1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center" vertical="center"/>
    </xf>
    <xf numFmtId="4" fontId="0" fillId="53" borderId="45" xfId="0" applyNumberFormat="1" applyFont="1" applyFill="1" applyBorder="1" applyAlignment="1">
      <alignment horizontal="center" vertical="center"/>
    </xf>
    <xf numFmtId="4" fontId="0" fillId="53" borderId="45" xfId="0" applyNumberFormat="1" applyFont="1" applyFill="1" applyBorder="1" applyAlignment="1">
      <alignment vertical="center"/>
    </xf>
    <xf numFmtId="4" fontId="0" fillId="0" borderId="42" xfId="0" applyNumberFormat="1" applyFont="1" applyFill="1" applyBorder="1" applyAlignment="1">
      <alignment horizontal="center" vertical="center"/>
    </xf>
    <xf numFmtId="4" fontId="0" fillId="0" borderId="45" xfId="0" applyNumberFormat="1" applyFont="1" applyFill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center" vertical="center"/>
    </xf>
    <xf numFmtId="4" fontId="0" fillId="0" borderId="48" xfId="0" applyNumberFormat="1" applyFont="1" applyFill="1" applyBorder="1" applyAlignment="1">
      <alignment horizontal="center" vertical="center"/>
    </xf>
    <xf numFmtId="4" fontId="0" fillId="0" borderId="47" xfId="0" applyNumberFormat="1" applyFont="1" applyFill="1" applyBorder="1" applyAlignment="1">
      <alignment horizontal="center" vertical="center"/>
    </xf>
    <xf numFmtId="4" fontId="0" fillId="0" borderId="49" xfId="0" applyNumberFormat="1" applyFont="1" applyFill="1" applyBorder="1" applyAlignment="1">
      <alignment horizontal="center" vertical="center"/>
    </xf>
    <xf numFmtId="4" fontId="74" fillId="0" borderId="50" xfId="0" applyNumberFormat="1" applyFont="1" applyFill="1" applyBorder="1" applyAlignment="1">
      <alignment horizontal="center" vertical="center"/>
    </xf>
    <xf numFmtId="4" fontId="0" fillId="53" borderId="5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29" fillId="0" borderId="30" xfId="0" applyFont="1" applyBorder="1" applyAlignment="1">
      <alignment horizontal="right" wrapText="1"/>
    </xf>
    <xf numFmtId="173" fontId="3" fillId="0" borderId="31" xfId="122" applyFont="1" applyFill="1" applyBorder="1" applyAlignment="1">
      <alignment horizontal="center" vertical="center" wrapText="1"/>
    </xf>
    <xf numFmtId="0" fontId="0" fillId="0" borderId="30" xfId="89" applyFont="1" applyFill="1" applyBorder="1" applyAlignment="1">
      <alignment horizontal="left" vertical="center" wrapText="1"/>
      <protection/>
    </xf>
    <xf numFmtId="173" fontId="0" fillId="0" borderId="31" xfId="122" applyFont="1" applyFill="1" applyBorder="1" applyAlignment="1">
      <alignment horizontal="center" vertical="center" wrapText="1"/>
    </xf>
    <xf numFmtId="0" fontId="0" fillId="0" borderId="31" xfId="90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right"/>
    </xf>
    <xf numFmtId="0" fontId="0" fillId="0" borderId="5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3" fillId="0" borderId="43" xfId="89" applyFont="1" applyFill="1" applyBorder="1" applyAlignment="1">
      <alignment horizontal="left" vertical="center" wrapText="1"/>
      <protection/>
    </xf>
    <xf numFmtId="49" fontId="24" fillId="0" borderId="16" xfId="89" applyNumberFormat="1" applyFont="1" applyFill="1" applyBorder="1" applyAlignment="1">
      <alignment horizontal="right" vertical="center"/>
      <protection/>
    </xf>
    <xf numFmtId="49" fontId="24" fillId="0" borderId="17" xfId="89" applyNumberFormat="1" applyFont="1" applyFill="1" applyBorder="1" applyAlignment="1">
      <alignment horizontal="right" vertical="center"/>
      <protection/>
    </xf>
    <xf numFmtId="173" fontId="24" fillId="0" borderId="17" xfId="122" applyFont="1" applyFill="1" applyBorder="1" applyAlignment="1">
      <alignment horizontal="center" vertical="center" wrapText="1"/>
    </xf>
    <xf numFmtId="49" fontId="3" fillId="54" borderId="54" xfId="89" applyNumberFormat="1" applyFont="1" applyFill="1" applyBorder="1" applyAlignment="1">
      <alignment horizontal="right" vertical="center" wrapText="1"/>
      <protection/>
    </xf>
    <xf numFmtId="49" fontId="3" fillId="54" borderId="55" xfId="89" applyNumberFormat="1" applyFont="1" applyFill="1" applyBorder="1" applyAlignment="1">
      <alignment horizontal="right" vertical="center" wrapText="1"/>
      <protection/>
    </xf>
    <xf numFmtId="0" fontId="24" fillId="54" borderId="55" xfId="89" applyFont="1" applyFill="1" applyBorder="1" applyAlignment="1">
      <alignment horizontal="right" vertical="center" wrapText="1"/>
      <protection/>
    </xf>
    <xf numFmtId="0" fontId="3" fillId="54" borderId="55" xfId="89" applyFont="1" applyFill="1" applyBorder="1" applyAlignment="1">
      <alignment horizontal="center" vertical="center" wrapText="1"/>
      <protection/>
    </xf>
    <xf numFmtId="173" fontId="24" fillId="0" borderId="33" xfId="122" applyFont="1" applyFill="1" applyBorder="1" applyAlignment="1">
      <alignment horizontal="center" vertical="center" wrapText="1"/>
    </xf>
    <xf numFmtId="0" fontId="24" fillId="0" borderId="53" xfId="89" applyFont="1" applyFill="1" applyBorder="1" applyAlignment="1">
      <alignment horizontal="left" vertical="center" wrapText="1"/>
      <protection/>
    </xf>
    <xf numFmtId="0" fontId="0" fillId="52" borderId="16" xfId="0" applyFont="1" applyFill="1" applyBorder="1" applyAlignment="1">
      <alignment/>
    </xf>
    <xf numFmtId="4" fontId="76" fillId="0" borderId="46" xfId="0" applyNumberFormat="1" applyFont="1" applyFill="1" applyBorder="1" applyAlignment="1">
      <alignment horizontal="center" vertical="center"/>
    </xf>
    <xf numFmtId="173" fontId="22" fillId="0" borderId="31" xfId="122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4" fontId="74" fillId="0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17" xfId="89" applyFont="1" applyFill="1" applyBorder="1" applyAlignment="1">
      <alignment horizontal="center" vertical="center" wrapText="1"/>
      <protection/>
    </xf>
    <xf numFmtId="43" fontId="24" fillId="0" borderId="17" xfId="12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3" fontId="24" fillId="0" borderId="19" xfId="122" applyNumberFormat="1" applyFont="1" applyFill="1" applyBorder="1" applyAlignment="1">
      <alignment horizontal="center" vertical="center" wrapText="1"/>
    </xf>
    <xf numFmtId="43" fontId="3" fillId="54" borderId="55" xfId="122" applyNumberFormat="1" applyFont="1" applyFill="1" applyBorder="1" applyAlignment="1">
      <alignment horizontal="center" vertical="center" wrapText="1"/>
    </xf>
    <xf numFmtId="43" fontId="3" fillId="0" borderId="0" xfId="122" applyNumberFormat="1" applyFont="1" applyFill="1" applyAlignment="1">
      <alignment horizontal="center" vertical="center" wrapText="1"/>
    </xf>
    <xf numFmtId="181" fontId="78" fillId="54" borderId="56" xfId="83" applyNumberFormat="1" applyFont="1" applyFill="1" applyBorder="1" applyAlignment="1">
      <alignment horizontal="center" vertical="center" wrapText="1"/>
    </xf>
    <xf numFmtId="181" fontId="24" fillId="0" borderId="17" xfId="122" applyNumberFormat="1" applyFont="1" applyFill="1" applyBorder="1" applyAlignment="1">
      <alignment vertical="center" wrapText="1"/>
    </xf>
    <xf numFmtId="181" fontId="3" fillId="0" borderId="17" xfId="122" applyNumberFormat="1" applyFont="1" applyFill="1" applyBorder="1" applyAlignment="1">
      <alignment horizontal="right" vertical="center" wrapText="1"/>
    </xf>
    <xf numFmtId="181" fontId="24" fillId="0" borderId="17" xfId="122" applyNumberFormat="1" applyFont="1" applyFill="1" applyBorder="1" applyAlignment="1">
      <alignment horizontal="center" vertical="center" wrapText="1"/>
    </xf>
    <xf numFmtId="181" fontId="3" fillId="0" borderId="17" xfId="122" applyNumberFormat="1" applyFont="1" applyFill="1" applyBorder="1" applyAlignment="1">
      <alignment vertical="center" wrapText="1"/>
    </xf>
    <xf numFmtId="181" fontId="3" fillId="0" borderId="17" xfId="122" applyNumberFormat="1" applyFont="1" applyFill="1" applyBorder="1" applyAlignment="1">
      <alignment horizontal="center" vertical="center" wrapText="1"/>
    </xf>
    <xf numFmtId="181" fontId="3" fillId="0" borderId="19" xfId="122" applyNumberFormat="1" applyFont="1" applyFill="1" applyBorder="1" applyAlignment="1">
      <alignment horizontal="right" vertical="center" wrapText="1"/>
    </xf>
    <xf numFmtId="181" fontId="24" fillId="0" borderId="19" xfId="122" applyNumberFormat="1" applyFont="1" applyFill="1" applyBorder="1" applyAlignment="1">
      <alignment horizontal="right" vertical="center" wrapText="1"/>
    </xf>
    <xf numFmtId="181" fontId="3" fillId="54" borderId="55" xfId="122" applyNumberFormat="1" applyFont="1" applyFill="1" applyBorder="1" applyAlignment="1">
      <alignment horizontal="right" vertical="center" wrapText="1"/>
    </xf>
    <xf numFmtId="181" fontId="24" fillId="54" borderId="55" xfId="122" applyNumberFormat="1" applyFont="1" applyFill="1" applyBorder="1" applyAlignment="1">
      <alignment horizontal="right" vertical="center" wrapText="1"/>
    </xf>
    <xf numFmtId="181" fontId="24" fillId="0" borderId="17" xfId="122" applyNumberFormat="1" applyFont="1" applyFill="1" applyBorder="1" applyAlignment="1">
      <alignment horizontal="right" vertical="center" wrapText="1"/>
    </xf>
    <xf numFmtId="181" fontId="3" fillId="0" borderId="57" xfId="122" applyNumberFormat="1" applyFont="1" applyFill="1" applyBorder="1" applyAlignment="1">
      <alignment horizontal="right" vertical="center" wrapText="1"/>
    </xf>
    <xf numFmtId="181" fontId="3" fillId="0" borderId="0" xfId="122" applyNumberFormat="1" applyFont="1" applyFill="1" applyAlignment="1">
      <alignment vertical="center" wrapText="1"/>
    </xf>
    <xf numFmtId="181" fontId="3" fillId="0" borderId="0" xfId="122" applyNumberFormat="1" applyFont="1" applyFill="1" applyAlignment="1">
      <alignment horizontal="right" vertical="center" wrapText="1"/>
    </xf>
    <xf numFmtId="0" fontId="3" fillId="0" borderId="0" xfId="89" applyFont="1" applyFill="1" applyBorder="1" applyAlignment="1">
      <alignment horizontal="left" vertical="center" wrapText="1"/>
      <protection/>
    </xf>
    <xf numFmtId="4" fontId="3" fillId="0" borderId="0" xfId="89" applyNumberFormat="1" applyFont="1" applyFill="1" applyBorder="1" applyAlignment="1">
      <alignment horizontal="left" vertical="center" wrapText="1"/>
      <protection/>
    </xf>
    <xf numFmtId="43" fontId="3" fillId="0" borderId="0" xfId="89" applyNumberFormat="1" applyFont="1" applyFill="1" applyBorder="1" applyAlignment="1">
      <alignment horizontal="left" vertical="center" wrapText="1"/>
      <protection/>
    </xf>
    <xf numFmtId="49" fontId="3" fillId="0" borderId="43" xfId="89" applyNumberFormat="1" applyFont="1" applyFill="1" applyBorder="1" applyAlignment="1">
      <alignment horizontal="right" vertical="center" wrapText="1"/>
      <protection/>
    </xf>
    <xf numFmtId="0" fontId="3" fillId="0" borderId="43" xfId="89" applyFont="1" applyFill="1" applyBorder="1" applyAlignment="1">
      <alignment horizontal="center" vertical="center" wrapText="1"/>
      <protection/>
    </xf>
    <xf numFmtId="43" fontId="3" fillId="0" borderId="43" xfId="122" applyNumberFormat="1" applyFont="1" applyFill="1" applyBorder="1" applyAlignment="1">
      <alignment horizontal="center" vertical="center" wrapText="1"/>
    </xf>
    <xf numFmtId="181" fontId="3" fillId="0" borderId="57" xfId="122" applyNumberFormat="1" applyFont="1" applyFill="1" applyBorder="1" applyAlignment="1">
      <alignment vertical="center" wrapText="1"/>
    </xf>
    <xf numFmtId="181" fontId="3" fillId="0" borderId="57" xfId="122" applyNumberFormat="1" applyFont="1" applyFill="1" applyBorder="1" applyAlignment="1">
      <alignment horizontal="center" vertical="center" wrapText="1"/>
    </xf>
    <xf numFmtId="49" fontId="3" fillId="0" borderId="37" xfId="89" applyNumberFormat="1" applyFont="1" applyFill="1" applyBorder="1" applyAlignment="1">
      <alignment horizontal="right" vertical="center" wrapText="1"/>
      <protection/>
    </xf>
    <xf numFmtId="183" fontId="3" fillId="0" borderId="19" xfId="0" applyNumberFormat="1" applyFont="1" applyFill="1" applyBorder="1" applyAlignment="1">
      <alignment horizontal="center" vertical="center"/>
    </xf>
    <xf numFmtId="183" fontId="3" fillId="0" borderId="0" xfId="89" applyNumberFormat="1" applyFont="1" applyFill="1" applyAlignment="1">
      <alignment horizontal="center" vertical="center" wrapText="1"/>
      <protection/>
    </xf>
    <xf numFmtId="183" fontId="24" fillId="52" borderId="24" xfId="0" applyNumberFormat="1" applyFont="1" applyFill="1" applyBorder="1" applyAlignment="1">
      <alignment horizontal="center" vertical="center"/>
    </xf>
    <xf numFmtId="183" fontId="24" fillId="0" borderId="17" xfId="89" applyNumberFormat="1" applyFont="1" applyFill="1" applyBorder="1" applyAlignment="1">
      <alignment horizontal="center" vertical="center" wrapText="1"/>
      <protection/>
    </xf>
    <xf numFmtId="183" fontId="3" fillId="0" borderId="19" xfId="89" applyNumberFormat="1" applyFont="1" applyFill="1" applyBorder="1" applyAlignment="1">
      <alignment horizontal="center" vertical="center" wrapText="1"/>
      <protection/>
    </xf>
    <xf numFmtId="183" fontId="3" fillId="0" borderId="43" xfId="89" applyNumberFormat="1" applyFont="1" applyFill="1" applyBorder="1" applyAlignment="1">
      <alignment horizontal="center" vertical="center" wrapText="1"/>
      <protection/>
    </xf>
    <xf numFmtId="183" fontId="3" fillId="54" borderId="55" xfId="89" applyNumberFormat="1" applyFont="1" applyFill="1" applyBorder="1" applyAlignment="1">
      <alignment horizontal="center" vertical="center" wrapText="1"/>
      <protection/>
    </xf>
    <xf numFmtId="183" fontId="24" fillId="0" borderId="17" xfId="89" applyNumberFormat="1" applyFont="1" applyFill="1" applyBorder="1" applyAlignment="1">
      <alignment horizontal="center" vertical="center"/>
      <protection/>
    </xf>
    <xf numFmtId="183" fontId="3" fillId="0" borderId="19" xfId="89" applyNumberFormat="1" applyFont="1" applyFill="1" applyBorder="1" applyAlignment="1">
      <alignment horizontal="center" vertical="center"/>
      <protection/>
    </xf>
    <xf numFmtId="183" fontId="24" fillId="0" borderId="19" xfId="89" applyNumberFormat="1" applyFont="1" applyFill="1" applyBorder="1" applyAlignment="1">
      <alignment horizontal="center" vertical="center"/>
      <protection/>
    </xf>
    <xf numFmtId="183" fontId="24" fillId="0" borderId="19" xfId="89" applyNumberFormat="1" applyFont="1" applyFill="1" applyBorder="1" applyAlignment="1">
      <alignment horizontal="center" vertical="center" wrapText="1"/>
      <protection/>
    </xf>
    <xf numFmtId="0" fontId="78" fillId="54" borderId="58" xfId="0" applyFont="1" applyFill="1" applyBorder="1" applyAlignment="1">
      <alignment horizontal="center" vertical="center"/>
    </xf>
    <xf numFmtId="183" fontId="78" fillId="54" borderId="56" xfId="0" applyNumberFormat="1" applyFont="1" applyFill="1" applyBorder="1" applyAlignment="1">
      <alignment horizontal="center" vertical="center"/>
    </xf>
    <xf numFmtId="0" fontId="79" fillId="54" borderId="56" xfId="0" applyFont="1" applyFill="1" applyBorder="1" applyAlignment="1">
      <alignment horizontal="center" vertical="center"/>
    </xf>
    <xf numFmtId="0" fontId="74" fillId="54" borderId="56" xfId="0" applyFont="1" applyFill="1" applyBorder="1" applyAlignment="1">
      <alignment horizontal="center" vertical="center" wrapText="1"/>
    </xf>
    <xf numFmtId="0" fontId="78" fillId="54" borderId="56" xfId="0" applyFont="1" applyFill="1" applyBorder="1" applyAlignment="1">
      <alignment horizontal="center" vertical="center"/>
    </xf>
    <xf numFmtId="2" fontId="78" fillId="54" borderId="56" xfId="83" applyNumberFormat="1" applyFont="1" applyFill="1" applyBorder="1" applyAlignment="1">
      <alignment horizontal="center" vertical="center"/>
    </xf>
    <xf numFmtId="181" fontId="78" fillId="54" borderId="56" xfId="83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3" fillId="0" borderId="28" xfId="89" applyNumberFormat="1" applyFont="1" applyFill="1" applyBorder="1" applyAlignment="1">
      <alignment horizontal="right" vertical="center"/>
      <protection/>
    </xf>
    <xf numFmtId="0" fontId="23" fillId="55" borderId="59" xfId="92" applyFont="1" applyFill="1" applyBorder="1" applyAlignment="1">
      <alignment vertical="center" wrapText="1"/>
      <protection/>
    </xf>
    <xf numFmtId="0" fontId="23" fillId="55" borderId="60" xfId="92" applyFont="1" applyFill="1" applyBorder="1" applyAlignment="1">
      <alignment vertical="center" wrapText="1"/>
      <protection/>
    </xf>
    <xf numFmtId="0" fontId="8" fillId="52" borderId="26" xfId="88" applyFont="1" applyFill="1" applyBorder="1" applyAlignment="1">
      <alignment vertical="center" wrapText="1"/>
      <protection/>
    </xf>
    <xf numFmtId="0" fontId="30" fillId="52" borderId="0" xfId="88" applyFont="1" applyFill="1" applyBorder="1" applyAlignment="1">
      <alignment vertical="center" wrapText="1"/>
      <protection/>
    </xf>
    <xf numFmtId="0" fontId="80" fillId="0" borderId="19" xfId="0" applyFont="1" applyBorder="1" applyAlignment="1">
      <alignment vertical="center"/>
    </xf>
    <xf numFmtId="0" fontId="8" fillId="52" borderId="0" xfId="88" applyFont="1" applyFill="1" applyBorder="1" applyAlignment="1">
      <alignment vertical="center" wrapText="1"/>
      <protection/>
    </xf>
    <xf numFmtId="10" fontId="70" fillId="0" borderId="19" xfId="95" applyNumberFormat="1" applyFont="1" applyBorder="1" applyAlignment="1">
      <alignment horizontal="center" vertical="center" wrapText="1"/>
    </xf>
    <xf numFmtId="10" fontId="0" fillId="0" borderId="19" xfId="0" applyNumberFormat="1" applyBorder="1" applyAlignment="1">
      <alignment horizontal="center" vertical="center"/>
    </xf>
    <xf numFmtId="17" fontId="8" fillId="52" borderId="41" xfId="88" applyNumberFormat="1" applyFont="1" applyFill="1" applyBorder="1" applyAlignment="1">
      <alignment horizontal="center" vertical="center" wrapText="1"/>
      <protection/>
    </xf>
    <xf numFmtId="0" fontId="28" fillId="52" borderId="41" xfId="79" applyFont="1" applyFill="1" applyBorder="1" applyAlignment="1" applyProtection="1">
      <alignment horizontal="center" vertical="center" wrapText="1"/>
      <protection/>
    </xf>
    <xf numFmtId="1" fontId="4" fillId="52" borderId="26" xfId="88" applyNumberFormat="1" applyFont="1" applyFill="1" applyBorder="1" applyAlignment="1">
      <alignment vertical="top"/>
      <protection/>
    </xf>
    <xf numFmtId="1" fontId="4" fillId="52" borderId="26" xfId="88" applyNumberFormat="1" applyFont="1" applyFill="1" applyBorder="1" applyAlignment="1">
      <alignment/>
      <protection/>
    </xf>
    <xf numFmtId="1" fontId="4" fillId="52" borderId="26" xfId="88" applyNumberFormat="1" applyFont="1" applyFill="1" applyBorder="1" applyAlignment="1">
      <alignment horizontal="center"/>
      <protection/>
    </xf>
    <xf numFmtId="0" fontId="4" fillId="52" borderId="61" xfId="88" applyFont="1" applyFill="1" applyBorder="1" applyAlignment="1">
      <alignment horizontal="center"/>
      <protection/>
    </xf>
    <xf numFmtId="0" fontId="4" fillId="52" borderId="61" xfId="88" applyFont="1" applyFill="1" applyBorder="1">
      <alignment/>
      <protection/>
    </xf>
    <xf numFmtId="175" fontId="4" fillId="52" borderId="61" xfId="88" applyNumberFormat="1" applyFont="1" applyFill="1" applyBorder="1" applyAlignment="1">
      <alignment horizontal="center"/>
      <protection/>
    </xf>
    <xf numFmtId="174" fontId="4" fillId="52" borderId="61" xfId="88" applyNumberFormat="1" applyFont="1" applyFill="1" applyBorder="1" applyAlignment="1">
      <alignment/>
      <protection/>
    </xf>
    <xf numFmtId="0" fontId="4" fillId="52" borderId="62" xfId="88" applyFont="1" applyFill="1" applyBorder="1" applyAlignment="1">
      <alignment/>
      <protection/>
    </xf>
    <xf numFmtId="0" fontId="80" fillId="0" borderId="18" xfId="0" applyFont="1" applyBorder="1" applyAlignment="1">
      <alignment horizontal="center"/>
    </xf>
    <xf numFmtId="0" fontId="80" fillId="0" borderId="19" xfId="0" applyFont="1" applyBorder="1" applyAlignment="1">
      <alignment horizontal="center"/>
    </xf>
    <xf numFmtId="0" fontId="80" fillId="0" borderId="41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175" fontId="0" fillId="0" borderId="19" xfId="0" applyNumberFormat="1" applyBorder="1" applyAlignment="1">
      <alignment horizontal="center" vertical="center"/>
    </xf>
    <xf numFmtId="172" fontId="0" fillId="0" borderId="19" xfId="83" applyFont="1" applyBorder="1" applyAlignment="1">
      <alignment horizontal="center"/>
    </xf>
    <xf numFmtId="172" fontId="0" fillId="0" borderId="41" xfId="83" applyFont="1" applyBorder="1" applyAlignment="1">
      <alignment/>
    </xf>
    <xf numFmtId="2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44" fontId="0" fillId="0" borderId="41" xfId="0" applyNumberFormat="1" applyBorder="1" applyAlignment="1">
      <alignment/>
    </xf>
    <xf numFmtId="172" fontId="0" fillId="0" borderId="19" xfId="83" applyFont="1" applyBorder="1" applyAlignment="1">
      <alignment horizontal="center" vertical="center"/>
    </xf>
    <xf numFmtId="44" fontId="0" fillId="0" borderId="41" xfId="83" applyNumberFormat="1" applyFont="1" applyBorder="1" applyAlignment="1">
      <alignment vertical="center"/>
    </xf>
    <xf numFmtId="0" fontId="0" fillId="0" borderId="18" xfId="0" applyBorder="1" applyAlignment="1" quotePrefix="1">
      <alignment horizontal="center" vertical="center"/>
    </xf>
    <xf numFmtId="172" fontId="0" fillId="0" borderId="41" xfId="83" applyFont="1" applyBorder="1" applyAlignment="1">
      <alignment vertical="center"/>
    </xf>
    <xf numFmtId="2" fontId="28" fillId="52" borderId="19" xfId="0" applyNumberFormat="1" applyFont="1" applyFill="1" applyBorder="1" applyAlignment="1">
      <alignment horizontal="center" vertical="center" wrapText="1"/>
    </xf>
    <xf numFmtId="1" fontId="28" fillId="52" borderId="18" xfId="0" applyNumberFormat="1" applyFont="1" applyFill="1" applyBorder="1" applyAlignment="1">
      <alignment horizontal="center" vertical="center" wrapText="1"/>
    </xf>
    <xf numFmtId="1" fontId="28" fillId="52" borderId="19" xfId="0" applyNumberFormat="1" applyFont="1" applyFill="1" applyBorder="1" applyAlignment="1">
      <alignment horizontal="center" vertical="center" wrapText="1"/>
    </xf>
    <xf numFmtId="174" fontId="28" fillId="52" borderId="19" xfId="0" applyNumberFormat="1" applyFont="1" applyFill="1" applyBorder="1" applyAlignment="1">
      <alignment horizontal="center" vertical="center" wrapText="1"/>
    </xf>
    <xf numFmtId="175" fontId="28" fillId="52" borderId="19" xfId="0" applyNumberFormat="1" applyFont="1" applyFill="1" applyBorder="1" applyAlignment="1">
      <alignment horizontal="center" vertical="center" wrapText="1"/>
    </xf>
    <xf numFmtId="172" fontId="28" fillId="52" borderId="19" xfId="83" applyFont="1" applyFill="1" applyBorder="1" applyAlignment="1">
      <alignment horizontal="center" vertical="center" wrapText="1"/>
    </xf>
    <xf numFmtId="172" fontId="70" fillId="52" borderId="50" xfId="83" applyFont="1" applyFill="1" applyBorder="1" applyAlignment="1">
      <alignment horizontal="right" vertical="center" wrapText="1"/>
    </xf>
    <xf numFmtId="0" fontId="80" fillId="0" borderId="18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0" fillId="0" borderId="41" xfId="0" applyFont="1" applyBorder="1" applyAlignment="1">
      <alignment horizontal="center" vertical="center"/>
    </xf>
    <xf numFmtId="44" fontId="80" fillId="0" borderId="41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28" fillId="52" borderId="37" xfId="0" applyNumberFormat="1" applyFont="1" applyFill="1" applyBorder="1" applyAlignment="1">
      <alignment horizontal="center" vertical="center" wrapText="1"/>
    </xf>
    <xf numFmtId="1" fontId="28" fillId="52" borderId="43" xfId="0" applyNumberFormat="1" applyFont="1" applyFill="1" applyBorder="1" applyAlignment="1">
      <alignment horizontal="center" vertical="center" wrapText="1"/>
    </xf>
    <xf numFmtId="174" fontId="28" fillId="52" borderId="43" xfId="0" applyNumberFormat="1" applyFont="1" applyFill="1" applyBorder="1" applyAlignment="1">
      <alignment horizontal="center" vertical="center" wrapText="1"/>
    </xf>
    <xf numFmtId="175" fontId="28" fillId="52" borderId="43" xfId="0" applyNumberFormat="1" applyFont="1" applyFill="1" applyBorder="1" applyAlignment="1">
      <alignment horizontal="center" vertical="center" wrapText="1"/>
    </xf>
    <xf numFmtId="172" fontId="28" fillId="52" borderId="43" xfId="83" applyFont="1" applyFill="1" applyBorder="1" applyAlignment="1">
      <alignment horizontal="center" vertical="center" wrapText="1"/>
    </xf>
    <xf numFmtId="174" fontId="70" fillId="52" borderId="5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7" xfId="89" applyFont="1" applyFill="1" applyBorder="1" applyAlignment="1">
      <alignment horizontal="left" vertical="center" wrapText="1"/>
      <protection/>
    </xf>
    <xf numFmtId="0" fontId="0" fillId="0" borderId="17" xfId="0" applyFont="1" applyBorder="1" applyAlignment="1">
      <alignment horizontal="center" vertical="center"/>
    </xf>
    <xf numFmtId="0" fontId="24" fillId="0" borderId="63" xfId="89" applyFont="1" applyFill="1" applyBorder="1" applyAlignment="1">
      <alignment horizontal="left" vertical="center" wrapText="1"/>
      <protection/>
    </xf>
    <xf numFmtId="173" fontId="24" fillId="0" borderId="64" xfId="122" applyFont="1" applyFill="1" applyBorder="1" applyAlignment="1">
      <alignment horizontal="center" vertical="center" wrapText="1"/>
    </xf>
    <xf numFmtId="0" fontId="0" fillId="52" borderId="16" xfId="0" applyFont="1" applyFill="1" applyBorder="1" applyAlignment="1">
      <alignment horizontal="center"/>
    </xf>
    <xf numFmtId="0" fontId="0" fillId="52" borderId="18" xfId="0" applyFont="1" applyFill="1" applyBorder="1" applyAlignment="1">
      <alignment horizontal="center" vertical="center"/>
    </xf>
    <xf numFmtId="0" fontId="0" fillId="52" borderId="16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right"/>
    </xf>
    <xf numFmtId="4" fontId="74" fillId="52" borderId="19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center" vertical="center"/>
    </xf>
    <xf numFmtId="4" fontId="0" fillId="52" borderId="33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4" fontId="75" fillId="53" borderId="29" xfId="0" applyNumberFormat="1" applyFont="1" applyFill="1" applyBorder="1" applyAlignment="1">
      <alignment horizontal="center" vertical="center"/>
    </xf>
    <xf numFmtId="4" fontId="0" fillId="52" borderId="19" xfId="0" applyNumberFormat="1" applyFont="1" applyFill="1" applyBorder="1" applyAlignment="1">
      <alignment horizontal="center" vertical="center" wrapText="1"/>
    </xf>
    <xf numFmtId="4" fontId="0" fillId="53" borderId="29" xfId="0" applyNumberFormat="1" applyFont="1" applyFill="1" applyBorder="1" applyAlignment="1">
      <alignment horizontal="center" vertical="center"/>
    </xf>
    <xf numFmtId="4" fontId="0" fillId="53" borderId="29" xfId="0" applyNumberFormat="1" applyFont="1" applyFill="1" applyBorder="1" applyAlignment="1">
      <alignment vertical="center"/>
    </xf>
    <xf numFmtId="4" fontId="0" fillId="0" borderId="27" xfId="0" applyNumberFormat="1" applyFont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52" borderId="29" xfId="0" applyNumberFormat="1" applyFont="1" applyFill="1" applyBorder="1" applyAlignment="1">
      <alignment vertical="center" wrapText="1"/>
    </xf>
    <xf numFmtId="4" fontId="0" fillId="0" borderId="34" xfId="0" applyNumberFormat="1" applyFont="1" applyFill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4" fontId="0" fillId="0" borderId="65" xfId="0" applyNumberFormat="1" applyFont="1" applyFill="1" applyBorder="1" applyAlignment="1">
      <alignment horizontal="center" vertical="center"/>
    </xf>
    <xf numFmtId="4" fontId="0" fillId="0" borderId="66" xfId="0" applyNumberFormat="1" applyFont="1" applyFill="1" applyBorder="1" applyAlignment="1">
      <alignment horizontal="center" vertical="center"/>
    </xf>
    <xf numFmtId="4" fontId="0" fillId="52" borderId="3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29" xfId="0" applyNumberFormat="1" applyFont="1" applyFill="1" applyBorder="1" applyAlignment="1">
      <alignment vertical="center" wrapText="1"/>
    </xf>
    <xf numFmtId="4" fontId="0" fillId="52" borderId="43" xfId="0" applyNumberFormat="1" applyFont="1" applyFill="1" applyBorder="1" applyAlignment="1">
      <alignment horizontal="center" vertical="center" wrapText="1"/>
    </xf>
    <xf numFmtId="4" fontId="0" fillId="0" borderId="66" xfId="0" applyNumberFormat="1" applyFont="1" applyFill="1" applyBorder="1" applyAlignment="1">
      <alignment vertical="center"/>
    </xf>
    <xf numFmtId="4" fontId="0" fillId="52" borderId="31" xfId="0" applyNumberFormat="1" applyFont="1" applyFill="1" applyBorder="1" applyAlignment="1">
      <alignment horizontal="center" vertical="center" wrapText="1"/>
    </xf>
    <xf numFmtId="4" fontId="24" fillId="0" borderId="67" xfId="122" applyNumberFormat="1" applyFont="1" applyFill="1" applyBorder="1" applyAlignment="1">
      <alignment horizontal="right" vertical="center" wrapText="1"/>
    </xf>
    <xf numFmtId="4" fontId="22" fillId="0" borderId="68" xfId="122" applyNumberFormat="1" applyFont="1" applyFill="1" applyBorder="1" applyAlignment="1">
      <alignment horizontal="right" vertical="center" wrapText="1"/>
    </xf>
    <xf numFmtId="4" fontId="0" fillId="0" borderId="68" xfId="122" applyNumberFormat="1" applyFont="1" applyFill="1" applyBorder="1" applyAlignment="1">
      <alignment horizontal="center" vertical="center" wrapText="1"/>
    </xf>
    <xf numFmtId="4" fontId="0" fillId="0" borderId="68" xfId="122" applyNumberFormat="1" applyFont="1" applyFill="1" applyBorder="1" applyAlignment="1">
      <alignment horizontal="right" vertical="center" wrapText="1"/>
    </xf>
    <xf numFmtId="4" fontId="0" fillId="53" borderId="40" xfId="0" applyNumberFormat="1" applyFont="1" applyFill="1" applyBorder="1" applyAlignment="1">
      <alignment horizontal="center" vertical="center"/>
    </xf>
    <xf numFmtId="4" fontId="0" fillId="53" borderId="40" xfId="0" applyNumberFormat="1" applyFont="1" applyFill="1" applyBorder="1" applyAlignment="1">
      <alignment vertical="center"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 horizontal="center"/>
    </xf>
    <xf numFmtId="4" fontId="81" fillId="0" borderId="0" xfId="0" applyNumberFormat="1" applyFont="1" applyBorder="1" applyAlignment="1">
      <alignment horizontal="center"/>
    </xf>
    <xf numFmtId="0" fontId="81" fillId="0" borderId="0" xfId="0" applyFont="1" applyBorder="1" applyAlignment="1">
      <alignment vertical="center" wrapText="1"/>
    </xf>
    <xf numFmtId="0" fontId="81" fillId="0" borderId="0" xfId="0" applyFont="1" applyBorder="1" applyAlignment="1">
      <alignment wrapText="1"/>
    </xf>
    <xf numFmtId="0" fontId="81" fillId="0" borderId="0" xfId="0" applyFont="1" applyBorder="1" applyAlignment="1">
      <alignment horizontal="center" vertical="center"/>
    </xf>
    <xf numFmtId="4" fontId="81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9" fontId="0" fillId="0" borderId="37" xfId="89" applyNumberFormat="1" applyFont="1" applyFill="1" applyBorder="1" applyAlignment="1">
      <alignment horizontal="center" vertical="center"/>
      <protection/>
    </xf>
    <xf numFmtId="49" fontId="0" fillId="0" borderId="38" xfId="89" applyNumberFormat="1" applyFont="1" applyFill="1" applyBorder="1" applyAlignment="1">
      <alignment horizontal="center" vertical="center"/>
      <protection/>
    </xf>
    <xf numFmtId="49" fontId="0" fillId="0" borderId="16" xfId="89" applyNumberFormat="1" applyFont="1" applyFill="1" applyBorder="1" applyAlignment="1">
      <alignment horizontal="center" vertical="center"/>
      <protection/>
    </xf>
    <xf numFmtId="49" fontId="3" fillId="0" borderId="37" xfId="89" applyNumberFormat="1" applyFont="1" applyFill="1" applyBorder="1" applyAlignment="1">
      <alignment horizontal="center" vertical="center"/>
      <protection/>
    </xf>
    <xf numFmtId="49" fontId="3" fillId="0" borderId="38" xfId="89" applyNumberFormat="1" applyFont="1" applyFill="1" applyBorder="1" applyAlignment="1">
      <alignment horizontal="center" vertical="center"/>
      <protection/>
    </xf>
    <xf numFmtId="49" fontId="24" fillId="0" borderId="69" xfId="89" applyNumberFormat="1" applyFont="1" applyFill="1" applyBorder="1" applyAlignment="1">
      <alignment horizontal="right" vertical="center"/>
      <protection/>
    </xf>
    <xf numFmtId="49" fontId="24" fillId="0" borderId="28" xfId="89" applyNumberFormat="1" applyFont="1" applyFill="1" applyBorder="1" applyAlignment="1">
      <alignment horizontal="right" vertical="center"/>
      <protection/>
    </xf>
    <xf numFmtId="49" fontId="3" fillId="0" borderId="18" xfId="89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181" fontId="3" fillId="0" borderId="0" xfId="122" applyNumberFormat="1" applyFont="1" applyFill="1" applyBorder="1" applyAlignment="1">
      <alignment horizontal="right" vertical="center" wrapText="1"/>
    </xf>
    <xf numFmtId="181" fontId="24" fillId="0" borderId="0" xfId="122" applyNumberFormat="1" applyFont="1" applyFill="1" applyBorder="1" applyAlignment="1">
      <alignment horizontal="right" vertical="center" wrapText="1"/>
    </xf>
    <xf numFmtId="181" fontId="24" fillId="0" borderId="0" xfId="89" applyNumberFormat="1" applyFont="1" applyFill="1" applyBorder="1" applyAlignment="1">
      <alignment horizontal="left" vertical="center" wrapText="1"/>
      <protection/>
    </xf>
    <xf numFmtId="181" fontId="3" fillId="0" borderId="0" xfId="89" applyNumberFormat="1" applyFont="1" applyFill="1" applyBorder="1" applyAlignment="1">
      <alignment horizontal="left" vertical="center" wrapText="1"/>
      <protection/>
    </xf>
    <xf numFmtId="182" fontId="78" fillId="54" borderId="70" xfId="0" applyNumberFormat="1" applyFont="1" applyFill="1" applyBorder="1" applyAlignment="1">
      <alignment horizontal="center" vertical="center"/>
    </xf>
    <xf numFmtId="182" fontId="24" fillId="0" borderId="71" xfId="122" applyNumberFormat="1" applyFont="1" applyFill="1" applyBorder="1" applyAlignment="1">
      <alignment horizontal="center" vertical="center" wrapText="1"/>
    </xf>
    <xf numFmtId="182" fontId="3" fillId="0" borderId="71" xfId="95" applyNumberFormat="1" applyFont="1" applyFill="1" applyBorder="1" applyAlignment="1">
      <alignment horizontal="center" vertical="center" wrapText="1"/>
    </xf>
    <xf numFmtId="182" fontId="24" fillId="54" borderId="72" xfId="95" applyNumberFormat="1" applyFont="1" applyFill="1" applyBorder="1" applyAlignment="1">
      <alignment horizontal="right" vertical="center" wrapText="1"/>
    </xf>
    <xf numFmtId="182" fontId="24" fillId="0" borderId="71" xfId="122" applyNumberFormat="1" applyFont="1" applyFill="1" applyBorder="1" applyAlignment="1">
      <alignment horizontal="right" vertical="center" wrapText="1"/>
    </xf>
    <xf numFmtId="182" fontId="3" fillId="0" borderId="41" xfId="122" applyNumberFormat="1" applyFont="1" applyFill="1" applyBorder="1" applyAlignment="1">
      <alignment horizontal="right" vertical="center" wrapText="1"/>
    </xf>
    <xf numFmtId="182" fontId="24" fillId="0" borderId="41" xfId="122" applyNumberFormat="1" applyFont="1" applyFill="1" applyBorder="1" applyAlignment="1">
      <alignment horizontal="right" vertical="center" wrapText="1"/>
    </xf>
    <xf numFmtId="182" fontId="3" fillId="0" borderId="0" xfId="122" applyNumberFormat="1" applyFont="1" applyFill="1" applyAlignment="1">
      <alignment vertical="center" wrapText="1"/>
    </xf>
    <xf numFmtId="0" fontId="31" fillId="0" borderId="0" xfId="0" applyNumberFormat="1" applyFont="1" applyBorder="1" applyAlignment="1">
      <alignment horizontal="center"/>
    </xf>
    <xf numFmtId="10" fontId="31" fillId="56" borderId="0" xfId="0" applyNumberFormat="1" applyFont="1" applyFill="1" applyBorder="1" applyAlignment="1" applyProtection="1">
      <alignment horizontal="left" vertical="center" wrapText="1"/>
      <protection locked="0"/>
    </xf>
    <xf numFmtId="10" fontId="31" fillId="0" borderId="0" xfId="0" applyNumberFormat="1" applyFont="1" applyFill="1" applyBorder="1" applyAlignment="1">
      <alignment horizontal="left" vertical="center"/>
    </xf>
    <xf numFmtId="0" fontId="3" fillId="0" borderId="63" xfId="89" applyFont="1" applyBorder="1" applyAlignment="1" applyProtection="1">
      <alignment horizontal="justify" vertical="top" wrapText="1"/>
      <protection/>
    </xf>
    <xf numFmtId="2" fontId="3" fillId="56" borderId="73" xfId="89" applyNumberFormat="1" applyFont="1" applyFill="1" applyBorder="1" applyAlignment="1" applyProtection="1">
      <alignment horizontal="center" vertical="top" wrapText="1"/>
      <protection locked="0"/>
    </xf>
    <xf numFmtId="0" fontId="3" fillId="0" borderId="21" xfId="89" applyFont="1" applyFill="1" applyBorder="1" applyAlignment="1" applyProtection="1">
      <alignment horizontal="center" vertical="top" wrapText="1"/>
      <protection/>
    </xf>
    <xf numFmtId="0" fontId="3" fillId="0" borderId="0" xfId="89" applyFont="1" applyBorder="1" applyProtection="1">
      <alignment/>
      <protection/>
    </xf>
    <xf numFmtId="0" fontId="38" fillId="0" borderId="29" xfId="89" applyFont="1" applyBorder="1" applyAlignment="1" applyProtection="1">
      <alignment horizontal="justify" vertical="top" wrapText="1"/>
      <protection/>
    </xf>
    <xf numFmtId="2" fontId="3" fillId="0" borderId="29" xfId="89" applyNumberFormat="1" applyFont="1" applyFill="1" applyBorder="1" applyAlignment="1" applyProtection="1">
      <alignment horizontal="center" vertical="top" wrapText="1"/>
      <protection/>
    </xf>
    <xf numFmtId="0" fontId="3" fillId="0" borderId="29" xfId="89" applyFont="1" applyFill="1" applyBorder="1" applyAlignment="1" applyProtection="1">
      <alignment horizontal="center" vertical="top" wrapText="1"/>
      <protection/>
    </xf>
    <xf numFmtId="0" fontId="3" fillId="0" borderId="0" xfId="89" applyFont="1" applyBorder="1" applyAlignment="1" applyProtection="1">
      <alignment horizontal="center"/>
      <protection/>
    </xf>
    <xf numFmtId="0" fontId="3" fillId="0" borderId="0" xfId="89" applyFont="1" applyFill="1" applyBorder="1" applyAlignment="1" applyProtection="1">
      <alignment horizontal="center"/>
      <protection/>
    </xf>
    <xf numFmtId="0" fontId="24" fillId="0" borderId="63" xfId="89" applyFont="1" applyBorder="1" applyAlignment="1" applyProtection="1">
      <alignment horizontal="justify"/>
      <protection/>
    </xf>
    <xf numFmtId="2" fontId="24" fillId="0" borderId="73" xfId="89" applyNumberFormat="1" applyFont="1" applyBorder="1" applyAlignment="1" applyProtection="1">
      <alignment horizontal="center"/>
      <protection/>
    </xf>
    <xf numFmtId="0" fontId="24" fillId="0" borderId="21" xfId="89" applyFont="1" applyFill="1" applyBorder="1" applyAlignment="1" applyProtection="1">
      <alignment horizontal="center" vertical="top" wrapText="1"/>
      <protection/>
    </xf>
    <xf numFmtId="0" fontId="38" fillId="0" borderId="63" xfId="89" applyFont="1" applyBorder="1" applyAlignment="1" applyProtection="1">
      <alignment horizontal="left" vertical="top" wrapText="1" indent="2"/>
      <protection/>
    </xf>
    <xf numFmtId="0" fontId="37" fillId="0" borderId="0" xfId="89" applyFont="1" applyBorder="1" applyAlignment="1" applyProtection="1">
      <alignment horizontal="center"/>
      <protection/>
    </xf>
    <xf numFmtId="0" fontId="37" fillId="0" borderId="0" xfId="89" applyFont="1" applyFill="1" applyBorder="1" applyAlignment="1" applyProtection="1">
      <alignment horizontal="center"/>
      <protection/>
    </xf>
    <xf numFmtId="2" fontId="3" fillId="0" borderId="73" xfId="89" applyNumberFormat="1" applyFont="1" applyFill="1" applyBorder="1" applyAlignment="1" applyProtection="1">
      <alignment horizontal="center" vertical="top" wrapText="1"/>
      <protection/>
    </xf>
    <xf numFmtId="2" fontId="3" fillId="0" borderId="21" xfId="89" applyNumberFormat="1" applyFont="1" applyFill="1" applyBorder="1" applyAlignment="1" applyProtection="1">
      <alignment horizontal="center" vertical="top" wrapText="1"/>
      <protection/>
    </xf>
    <xf numFmtId="0" fontId="4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54" fillId="0" borderId="19" xfId="0" applyNumberFormat="1" applyFont="1" applyFill="1" applyBorder="1" applyAlignment="1">
      <alignment horizontal="center" vertical="center"/>
    </xf>
    <xf numFmtId="49" fontId="54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54" fillId="0" borderId="19" xfId="0" applyFont="1" applyBorder="1" applyAlignment="1">
      <alignment horizontal="center" vertical="center"/>
    </xf>
    <xf numFmtId="173" fontId="54" fillId="0" borderId="19" xfId="101" applyFont="1" applyBorder="1" applyAlignment="1">
      <alignment horizontal="center" vertical="center"/>
    </xf>
    <xf numFmtId="9" fontId="55" fillId="0" borderId="74" xfId="95" applyFont="1" applyBorder="1" applyAlignment="1">
      <alignment horizontal="center" vertical="center"/>
    </xf>
    <xf numFmtId="173" fontId="55" fillId="0" borderId="75" xfId="101" applyFont="1" applyBorder="1" applyAlignment="1">
      <alignment horizontal="center" vertical="center"/>
    </xf>
    <xf numFmtId="4" fontId="55" fillId="0" borderId="75" xfId="101" applyNumberFormat="1" applyFont="1" applyBorder="1" applyAlignment="1">
      <alignment horizontal="center" vertical="center"/>
    </xf>
    <xf numFmtId="4" fontId="55" fillId="0" borderId="75" xfId="101" applyNumberFormat="1" applyFont="1" applyFill="1" applyBorder="1" applyAlignment="1">
      <alignment horizontal="center" vertical="center"/>
    </xf>
    <xf numFmtId="9" fontId="55" fillId="0" borderId="75" xfId="95" applyFont="1" applyBorder="1" applyAlignment="1">
      <alignment horizontal="center" vertical="center"/>
    </xf>
    <xf numFmtId="10" fontId="55" fillId="0" borderId="75" xfId="95" applyNumberFormat="1" applyFont="1" applyFill="1" applyBorder="1" applyAlignment="1">
      <alignment horizontal="center" vertical="center"/>
    </xf>
    <xf numFmtId="173" fontId="55" fillId="55" borderId="75" xfId="101" applyFont="1" applyFill="1" applyBorder="1" applyAlignment="1">
      <alignment horizontal="center" vertical="center"/>
    </xf>
    <xf numFmtId="0" fontId="56" fillId="0" borderId="75" xfId="0" applyFont="1" applyBorder="1" applyAlignment="1">
      <alignment/>
    </xf>
    <xf numFmtId="10" fontId="55" fillId="52" borderId="75" xfId="95" applyNumberFormat="1" applyFont="1" applyFill="1" applyBorder="1" applyAlignment="1">
      <alignment horizontal="center" vertical="center"/>
    </xf>
    <xf numFmtId="173" fontId="55" fillId="0" borderId="76" xfId="101" applyFont="1" applyBorder="1" applyAlignment="1">
      <alignment horizontal="center" vertical="center"/>
    </xf>
    <xf numFmtId="173" fontId="55" fillId="0" borderId="77" xfId="101" applyFont="1" applyBorder="1" applyAlignment="1">
      <alignment horizontal="center" vertical="center"/>
    </xf>
    <xf numFmtId="4" fontId="55" fillId="0" borderId="77" xfId="101" applyNumberFormat="1" applyFont="1" applyFill="1" applyBorder="1" applyAlignment="1">
      <alignment horizontal="center" vertical="center"/>
    </xf>
    <xf numFmtId="4" fontId="55" fillId="0" borderId="78" xfId="101" applyNumberFormat="1" applyFont="1" applyBorder="1" applyAlignment="1">
      <alignment horizontal="center" vertical="center"/>
    </xf>
    <xf numFmtId="10" fontId="55" fillId="0" borderId="79" xfId="95" applyNumberFormat="1" applyFont="1" applyFill="1" applyBorder="1" applyAlignment="1">
      <alignment horizontal="center" vertical="center"/>
    </xf>
    <xf numFmtId="4" fontId="55" fillId="0" borderId="78" xfId="101" applyNumberFormat="1" applyFont="1" applyFill="1" applyBorder="1" applyAlignment="1">
      <alignment horizontal="center" vertical="center"/>
    </xf>
    <xf numFmtId="173" fontId="55" fillId="55" borderId="78" xfId="101" applyFont="1" applyFill="1" applyBorder="1" applyAlignment="1">
      <alignment horizontal="center" vertical="center"/>
    </xf>
    <xf numFmtId="4" fontId="55" fillId="0" borderId="80" xfId="101" applyNumberFormat="1" applyFont="1" applyFill="1" applyBorder="1" applyAlignment="1">
      <alignment horizontal="center" vertical="center"/>
    </xf>
    <xf numFmtId="173" fontId="55" fillId="0" borderId="78" xfId="101" applyFont="1" applyFill="1" applyBorder="1" applyAlignment="1">
      <alignment horizontal="center" vertical="center"/>
    </xf>
    <xf numFmtId="173" fontId="55" fillId="0" borderId="78" xfId="101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89" applyFont="1" applyFill="1" applyBorder="1" applyAlignment="1" applyProtection="1">
      <alignment horizontal="left"/>
      <protection/>
    </xf>
    <xf numFmtId="0" fontId="3" fillId="0" borderId="0" xfId="89" applyFont="1" applyFill="1" applyBorder="1" applyProtection="1">
      <alignment/>
      <protection/>
    </xf>
    <xf numFmtId="0" fontId="3" fillId="0" borderId="0" xfId="89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10" fontId="54" fillId="0" borderId="77" xfId="95" applyNumberFormat="1" applyFont="1" applyBorder="1" applyAlignment="1">
      <alignment horizontal="center" vertical="center"/>
    </xf>
    <xf numFmtId="4" fontId="54" fillId="0" borderId="77" xfId="95" applyNumberFormat="1" applyFont="1" applyBorder="1" applyAlignment="1">
      <alignment horizontal="center" vertical="center"/>
    </xf>
    <xf numFmtId="173" fontId="55" fillId="0" borderId="74" xfId="101" applyFont="1" applyBorder="1" applyAlignment="1">
      <alignment horizontal="center" vertical="center"/>
    </xf>
    <xf numFmtId="4" fontId="55" fillId="0" borderId="74" xfId="122" applyNumberFormat="1" applyFont="1" applyFill="1" applyBorder="1" applyAlignment="1">
      <alignment horizontal="center" vertical="center"/>
    </xf>
    <xf numFmtId="4" fontId="55" fillId="0" borderId="75" xfId="95" applyNumberFormat="1" applyFont="1" applyBorder="1" applyAlignment="1">
      <alignment horizontal="center" vertical="center"/>
    </xf>
    <xf numFmtId="4" fontId="55" fillId="0" borderId="81" xfId="95" applyNumberFormat="1" applyFont="1" applyBorder="1" applyAlignment="1">
      <alignment horizontal="center" vertical="center"/>
    </xf>
    <xf numFmtId="179" fontId="55" fillId="0" borderId="81" xfId="95" applyNumberFormat="1" applyFont="1" applyBorder="1" applyAlignment="1">
      <alignment horizontal="center" vertical="center"/>
    </xf>
    <xf numFmtId="179" fontId="55" fillId="0" borderId="75" xfId="95" applyNumberFormat="1" applyFont="1" applyBorder="1" applyAlignment="1">
      <alignment horizontal="center" vertical="center"/>
    </xf>
    <xf numFmtId="49" fontId="54" fillId="0" borderId="45" xfId="0" applyNumberFormat="1" applyFont="1" applyFill="1" applyBorder="1" applyAlignment="1">
      <alignment horizontal="center" vertical="center"/>
    </xf>
    <xf numFmtId="10" fontId="55" fillId="0" borderId="82" xfId="95" applyNumberFormat="1" applyFont="1" applyFill="1" applyBorder="1" applyAlignment="1">
      <alignment horizontal="center" vertical="center"/>
    </xf>
    <xf numFmtId="4" fontId="55" fillId="0" borderId="83" xfId="101" applyNumberFormat="1" applyFont="1" applyBorder="1" applyAlignment="1">
      <alignment horizontal="center" vertical="center"/>
    </xf>
    <xf numFmtId="10" fontId="55" fillId="0" borderId="81" xfId="95" applyNumberFormat="1" applyFont="1" applyFill="1" applyBorder="1" applyAlignment="1">
      <alignment horizontal="center" vertical="center"/>
    </xf>
    <xf numFmtId="4" fontId="55" fillId="0" borderId="81" xfId="101" applyNumberFormat="1" applyFont="1" applyBorder="1" applyAlignment="1">
      <alignment horizontal="center" vertical="center"/>
    </xf>
    <xf numFmtId="4" fontId="55" fillId="0" borderId="81" xfId="101" applyNumberFormat="1" applyFont="1" applyFill="1" applyBorder="1" applyAlignment="1">
      <alignment horizontal="center" vertical="center"/>
    </xf>
    <xf numFmtId="173" fontId="55" fillId="0" borderId="81" xfId="101" applyFont="1" applyFill="1" applyBorder="1" applyAlignment="1">
      <alignment horizontal="center" vertical="center"/>
    </xf>
    <xf numFmtId="4" fontId="55" fillId="0" borderId="83" xfId="101" applyNumberFormat="1" applyFont="1" applyFill="1" applyBorder="1" applyAlignment="1">
      <alignment horizontal="center" vertical="center"/>
    </xf>
    <xf numFmtId="4" fontId="55" fillId="0" borderId="84" xfId="101" applyNumberFormat="1" applyFont="1" applyFill="1" applyBorder="1" applyAlignment="1">
      <alignment horizontal="center" vertical="center"/>
    </xf>
    <xf numFmtId="9" fontId="55" fillId="0" borderId="79" xfId="95" applyFont="1" applyBorder="1" applyAlignment="1">
      <alignment horizontal="center" vertical="center"/>
    </xf>
    <xf numFmtId="179" fontId="55" fillId="0" borderId="79" xfId="122" applyNumberFormat="1" applyFont="1" applyFill="1" applyBorder="1" applyAlignment="1">
      <alignment horizontal="center" vertical="center"/>
    </xf>
    <xf numFmtId="0" fontId="28" fillId="0" borderId="80" xfId="0" applyFont="1" applyBorder="1" applyAlignment="1">
      <alignment vertical="center"/>
    </xf>
    <xf numFmtId="0" fontId="0" fillId="0" borderId="85" xfId="0" applyFont="1" applyBorder="1" applyAlignment="1">
      <alignment horizontal="right" vertical="center" wrapText="1"/>
    </xf>
    <xf numFmtId="0" fontId="0" fillId="0" borderId="53" xfId="0" applyFont="1" applyBorder="1" applyAlignment="1">
      <alignment horizontal="right" vertical="center" wrapText="1"/>
    </xf>
    <xf numFmtId="0" fontId="24" fillId="0" borderId="43" xfId="89" applyFont="1" applyFill="1" applyBorder="1" applyAlignment="1">
      <alignment horizontal="left" vertical="center" wrapText="1"/>
      <protection/>
    </xf>
    <xf numFmtId="0" fontId="3" fillId="0" borderId="43" xfId="0" applyFont="1" applyBorder="1" applyAlignment="1">
      <alignment vertical="center" wrapText="1"/>
    </xf>
    <xf numFmtId="49" fontId="3" fillId="54" borderId="86" xfId="89" applyNumberFormat="1" applyFont="1" applyFill="1" applyBorder="1" applyAlignment="1">
      <alignment horizontal="right" vertical="center" wrapText="1"/>
      <protection/>
    </xf>
    <xf numFmtId="183" fontId="3" fillId="54" borderId="87" xfId="89" applyNumberFormat="1" applyFont="1" applyFill="1" applyBorder="1" applyAlignment="1">
      <alignment horizontal="center" vertical="center" wrapText="1"/>
      <protection/>
    </xf>
    <xf numFmtId="49" fontId="3" fillId="0" borderId="88" xfId="89" applyNumberFormat="1" applyFont="1" applyFill="1" applyBorder="1" applyAlignment="1">
      <alignment horizontal="right" vertical="center"/>
      <protection/>
    </xf>
    <xf numFmtId="49" fontId="3" fillId="0" borderId="89" xfId="89" applyNumberFormat="1" applyFont="1" applyFill="1" applyBorder="1" applyAlignment="1">
      <alignment horizontal="center" vertical="center"/>
      <protection/>
    </xf>
    <xf numFmtId="43" fontId="0" fillId="0" borderId="0" xfId="0" applyNumberFormat="1" applyAlignment="1">
      <alignment/>
    </xf>
    <xf numFmtId="0" fontId="0" fillId="0" borderId="30" xfId="89" applyFont="1" applyFill="1" applyBorder="1" applyAlignment="1">
      <alignment horizontal="right" vertical="center" wrapText="1"/>
      <protection/>
    </xf>
    <xf numFmtId="0" fontId="0" fillId="0" borderId="2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81" fontId="3" fillId="0" borderId="0" xfId="89" applyNumberFormat="1" applyFont="1" applyFill="1" applyBorder="1" applyAlignment="1">
      <alignment vertical="center" wrapText="1"/>
      <protection/>
    </xf>
    <xf numFmtId="49" fontId="24" fillId="0" borderId="20" xfId="89" applyNumberFormat="1" applyFont="1" applyFill="1" applyBorder="1" applyAlignment="1">
      <alignment horizontal="right" vertical="center"/>
      <protection/>
    </xf>
    <xf numFmtId="173" fontId="24" fillId="0" borderId="21" xfId="122" applyFont="1" applyFill="1" applyBorder="1" applyAlignment="1">
      <alignment horizontal="center" vertical="center" wrapText="1"/>
    </xf>
    <xf numFmtId="182" fontId="3" fillId="0" borderId="0" xfId="89" applyNumberFormat="1" applyFont="1" applyFill="1" applyBorder="1" applyAlignment="1">
      <alignment vertical="center" wrapText="1"/>
      <protection/>
    </xf>
    <xf numFmtId="0" fontId="28" fillId="0" borderId="0" xfId="0" applyFont="1" applyAlignment="1">
      <alignment vertical="center"/>
    </xf>
    <xf numFmtId="183" fontId="0" fillId="0" borderId="18" xfId="0" applyNumberFormat="1" applyBorder="1" applyAlignment="1">
      <alignment horizontal="center" vertical="center"/>
    </xf>
    <xf numFmtId="185" fontId="0" fillId="0" borderId="19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49" fontId="3" fillId="0" borderId="17" xfId="89" applyNumberFormat="1" applyFont="1" applyFill="1" applyBorder="1" applyAlignment="1">
      <alignment horizontal="right" vertical="center" wrapText="1"/>
      <protection/>
    </xf>
    <xf numFmtId="0" fontId="3" fillId="0" borderId="19" xfId="89" applyFont="1" applyFill="1" applyBorder="1" applyAlignment="1">
      <alignment horizontal="center" vertical="center" wrapText="1"/>
      <protection/>
    </xf>
    <xf numFmtId="43" fontId="3" fillId="0" borderId="19" xfId="122" applyNumberFormat="1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" fillId="0" borderId="90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3" fillId="0" borderId="53" xfId="89" applyFont="1" applyFill="1" applyBorder="1" applyAlignment="1">
      <alignment horizontal="left" vertical="center" wrapText="1"/>
      <protection/>
    </xf>
    <xf numFmtId="173" fontId="3" fillId="0" borderId="33" xfId="122" applyFont="1" applyFill="1" applyBorder="1" applyAlignment="1">
      <alignment horizontal="center" vertical="center" wrapText="1"/>
    </xf>
    <xf numFmtId="173" fontId="3" fillId="0" borderId="67" xfId="122" applyFont="1" applyFill="1" applyBorder="1" applyAlignment="1">
      <alignment horizontal="center" vertical="center" wrapText="1"/>
    </xf>
    <xf numFmtId="0" fontId="3" fillId="0" borderId="30" xfId="89" applyFont="1" applyFill="1" applyBorder="1" applyAlignment="1">
      <alignment horizontal="left" vertical="center" wrapText="1"/>
      <protection/>
    </xf>
    <xf numFmtId="173" fontId="3" fillId="0" borderId="68" xfId="122" applyFont="1" applyFill="1" applyBorder="1" applyAlignment="1">
      <alignment horizontal="center" vertical="center" wrapText="1"/>
    </xf>
    <xf numFmtId="0" fontId="3" fillId="0" borderId="52" xfId="89" applyFont="1" applyFill="1" applyBorder="1" applyAlignment="1">
      <alignment horizontal="left" vertical="center" wrapText="1"/>
      <protection/>
    </xf>
    <xf numFmtId="173" fontId="24" fillId="0" borderId="67" xfId="122" applyFont="1" applyFill="1" applyBorder="1" applyAlignment="1">
      <alignment horizontal="center" vertical="center" wrapText="1"/>
    </xf>
    <xf numFmtId="0" fontId="24" fillId="0" borderId="30" xfId="89" applyFont="1" applyFill="1" applyBorder="1" applyAlignment="1">
      <alignment horizontal="left" vertical="center" wrapText="1"/>
      <protection/>
    </xf>
    <xf numFmtId="0" fontId="3" fillId="0" borderId="31" xfId="89" applyFont="1" applyFill="1" applyBorder="1" applyAlignment="1">
      <alignment horizontal="left" vertical="center" wrapText="1"/>
      <protection/>
    </xf>
    <xf numFmtId="49" fontId="24" fillId="0" borderId="43" xfId="89" applyNumberFormat="1" applyFont="1" applyFill="1" applyBorder="1" applyAlignment="1">
      <alignment horizontal="right" vertical="center"/>
      <protection/>
    </xf>
    <xf numFmtId="49" fontId="3" fillId="0" borderId="57" xfId="89" applyNumberFormat="1" applyFont="1" applyFill="1" applyBorder="1" applyAlignment="1">
      <alignment horizontal="right" vertical="center"/>
      <protection/>
    </xf>
    <xf numFmtId="49" fontId="24" fillId="0" borderId="57" xfId="89" applyNumberFormat="1" applyFont="1" applyFill="1" applyBorder="1" applyAlignment="1">
      <alignment horizontal="right" vertical="center"/>
      <protection/>
    </xf>
    <xf numFmtId="49" fontId="3" fillId="0" borderId="43" xfId="89" applyNumberFormat="1" applyFont="1" applyFill="1" applyBorder="1" applyAlignment="1">
      <alignment horizontal="right" vertical="center"/>
      <protection/>
    </xf>
    <xf numFmtId="0" fontId="3" fillId="0" borderId="53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173" fontId="3" fillId="0" borderId="36" xfId="122" applyFont="1" applyFill="1" applyBorder="1" applyAlignment="1">
      <alignment horizontal="center" vertical="center" wrapText="1"/>
    </xf>
    <xf numFmtId="0" fontId="28" fillId="0" borderId="53" xfId="0" applyFont="1" applyBorder="1" applyAlignment="1">
      <alignment vertical="center"/>
    </xf>
    <xf numFmtId="49" fontId="3" fillId="0" borderId="38" xfId="89" applyNumberFormat="1" applyFont="1" applyFill="1" applyBorder="1" applyAlignment="1">
      <alignment horizontal="right" vertical="center"/>
      <protection/>
    </xf>
    <xf numFmtId="183" fontId="3" fillId="0" borderId="57" xfId="89" applyNumberFormat="1" applyFont="1" applyFill="1" applyBorder="1" applyAlignment="1">
      <alignment horizontal="center" vertical="center"/>
      <protection/>
    </xf>
    <xf numFmtId="0" fontId="3" fillId="0" borderId="57" xfId="89" applyFont="1" applyFill="1" applyBorder="1" applyAlignment="1">
      <alignment horizontal="left" vertical="center" wrapText="1"/>
      <protection/>
    </xf>
    <xf numFmtId="173" fontId="3" fillId="0" borderId="57" xfId="122" applyFont="1" applyFill="1" applyBorder="1" applyAlignment="1">
      <alignment horizontal="center" vertical="center" wrapText="1"/>
    </xf>
    <xf numFmtId="181" fontId="3" fillId="0" borderId="19" xfId="122" applyNumberFormat="1" applyFont="1" applyFill="1" applyBorder="1" applyAlignment="1">
      <alignment vertical="center" wrapText="1"/>
    </xf>
    <xf numFmtId="182" fontId="24" fillId="0" borderId="70" xfId="122" applyNumberFormat="1" applyFont="1" applyFill="1" applyBorder="1" applyAlignment="1">
      <alignment horizontal="right" vertical="center" wrapText="1"/>
    </xf>
    <xf numFmtId="10" fontId="24" fillId="0" borderId="41" xfId="95" applyNumberFormat="1" applyFont="1" applyFill="1" applyBorder="1" applyAlignment="1">
      <alignment horizontal="right" vertical="center" wrapText="1"/>
    </xf>
    <xf numFmtId="49" fontId="3" fillId="0" borderId="21" xfId="89" applyNumberFormat="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3" fontId="3" fillId="0" borderId="0" xfId="89" applyNumberFormat="1" applyFont="1" applyFill="1" applyBorder="1" applyAlignment="1">
      <alignment vertical="center" wrapText="1"/>
      <protection/>
    </xf>
    <xf numFmtId="173" fontId="3" fillId="0" borderId="0" xfId="122" applyFont="1" applyFill="1" applyBorder="1" applyAlignment="1">
      <alignment horizontal="center" vertical="center" wrapText="1"/>
    </xf>
    <xf numFmtId="173" fontId="3" fillId="0" borderId="74" xfId="122" applyFont="1" applyFill="1" applyBorder="1" applyAlignment="1">
      <alignment horizontal="center" vertical="center" wrapText="1"/>
    </xf>
    <xf numFmtId="173" fontId="3" fillId="0" borderId="75" xfId="122" applyFont="1" applyFill="1" applyBorder="1" applyAlignment="1">
      <alignment horizontal="center" vertical="center" wrapText="1"/>
    </xf>
    <xf numFmtId="173" fontId="3" fillId="0" borderId="77" xfId="122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8" fontId="55" fillId="0" borderId="82" xfId="122" applyNumberFormat="1" applyFont="1" applyFill="1" applyBorder="1" applyAlignment="1">
      <alignment horizontal="center" vertical="center"/>
    </xf>
    <xf numFmtId="0" fontId="0" fillId="0" borderId="91" xfId="0" applyFont="1" applyBorder="1" applyAlignment="1">
      <alignment horizontal="left" vertical="center" wrapText="1"/>
    </xf>
    <xf numFmtId="0" fontId="0" fillId="0" borderId="92" xfId="0" applyFont="1" applyBorder="1" applyAlignment="1">
      <alignment horizontal="center" vertical="center"/>
    </xf>
    <xf numFmtId="4" fontId="0" fillId="0" borderId="92" xfId="0" applyNumberFormat="1" applyFont="1" applyFill="1" applyBorder="1" applyAlignment="1">
      <alignment horizontal="center" vertical="center"/>
    </xf>
    <xf numFmtId="4" fontId="0" fillId="52" borderId="92" xfId="0" applyNumberFormat="1" applyFont="1" applyFill="1" applyBorder="1" applyAlignment="1">
      <alignment horizontal="center" vertical="center" wrapText="1"/>
    </xf>
    <xf numFmtId="4" fontId="74" fillId="0" borderId="93" xfId="0" applyNumberFormat="1" applyFont="1" applyFill="1" applyBorder="1" applyAlignment="1">
      <alignment horizontal="center" vertical="center" wrapText="1"/>
    </xf>
    <xf numFmtId="49" fontId="3" fillId="0" borderId="37" xfId="89" applyNumberFormat="1" applyFont="1" applyFill="1" applyBorder="1" applyAlignment="1">
      <alignment horizontal="right" vertical="center"/>
      <protection/>
    </xf>
    <xf numFmtId="49" fontId="3" fillId="0" borderId="94" xfId="89" applyNumberFormat="1" applyFont="1" applyFill="1" applyBorder="1" applyAlignment="1">
      <alignment horizontal="center" vertical="center"/>
      <protection/>
    </xf>
    <xf numFmtId="173" fontId="3" fillId="0" borderId="43" xfId="122" applyFont="1" applyFill="1" applyBorder="1" applyAlignment="1">
      <alignment horizontal="center" vertical="center" wrapText="1"/>
    </xf>
    <xf numFmtId="181" fontId="3" fillId="0" borderId="43" xfId="122" applyNumberFormat="1" applyFont="1" applyFill="1" applyBorder="1" applyAlignment="1">
      <alignment horizontal="right" vertical="center" wrapText="1"/>
    </xf>
    <xf numFmtId="181" fontId="3" fillId="0" borderId="43" xfId="122" applyNumberFormat="1" applyFont="1" applyFill="1" applyBorder="1" applyAlignment="1">
      <alignment vertical="center" wrapText="1"/>
    </xf>
    <xf numFmtId="181" fontId="3" fillId="0" borderId="43" xfId="122" applyNumberFormat="1" applyFont="1" applyFill="1" applyBorder="1" applyAlignment="1">
      <alignment horizontal="center" vertical="center" wrapText="1"/>
    </xf>
    <xf numFmtId="182" fontId="3" fillId="0" borderId="50" xfId="95" applyNumberFormat="1" applyFont="1" applyFill="1" applyBorder="1" applyAlignment="1">
      <alignment horizontal="center" vertical="center" wrapText="1"/>
    </xf>
    <xf numFmtId="49" fontId="3" fillId="52" borderId="18" xfId="89" applyNumberFormat="1" applyFont="1" applyFill="1" applyBorder="1" applyAlignment="1">
      <alignment horizontal="right" vertical="center"/>
      <protection/>
    </xf>
    <xf numFmtId="183" fontId="3" fillId="52" borderId="19" xfId="89" applyNumberFormat="1" applyFont="1" applyFill="1" applyBorder="1" applyAlignment="1">
      <alignment horizontal="center" vertical="center"/>
      <protection/>
    </xf>
    <xf numFmtId="49" fontId="3" fillId="52" borderId="19" xfId="89" applyNumberFormat="1" applyFont="1" applyFill="1" applyBorder="1" applyAlignment="1">
      <alignment horizontal="right" vertical="center"/>
      <protection/>
    </xf>
    <xf numFmtId="0" fontId="3" fillId="52" borderId="19" xfId="89" applyFont="1" applyFill="1" applyBorder="1" applyAlignment="1">
      <alignment horizontal="left" vertical="center" wrapText="1"/>
      <protection/>
    </xf>
    <xf numFmtId="173" fontId="3" fillId="52" borderId="19" xfId="122" applyFont="1" applyFill="1" applyBorder="1" applyAlignment="1">
      <alignment horizontal="center" vertical="center" wrapText="1"/>
    </xf>
    <xf numFmtId="181" fontId="3" fillId="52" borderId="17" xfId="122" applyNumberFormat="1" applyFont="1" applyFill="1" applyBorder="1" applyAlignment="1">
      <alignment vertical="center" wrapText="1"/>
    </xf>
    <xf numFmtId="181" fontId="3" fillId="52" borderId="17" xfId="122" applyNumberFormat="1" applyFont="1" applyFill="1" applyBorder="1" applyAlignment="1">
      <alignment horizontal="right" vertical="center" wrapText="1"/>
    </xf>
    <xf numFmtId="181" fontId="3" fillId="52" borderId="17" xfId="122" applyNumberFormat="1" applyFont="1" applyFill="1" applyBorder="1" applyAlignment="1">
      <alignment horizontal="center" vertical="center" wrapText="1"/>
    </xf>
    <xf numFmtId="182" fontId="3" fillId="52" borderId="71" xfId="95" applyNumberFormat="1" applyFont="1" applyFill="1" applyBorder="1" applyAlignment="1">
      <alignment horizontal="center" vertical="center" wrapText="1"/>
    </xf>
    <xf numFmtId="49" fontId="3" fillId="52" borderId="20" xfId="89" applyNumberFormat="1" applyFont="1" applyFill="1" applyBorder="1" applyAlignment="1">
      <alignment horizontal="right" vertical="center"/>
      <protection/>
    </xf>
    <xf numFmtId="0" fontId="3" fillId="52" borderId="19" xfId="0" applyFont="1" applyFill="1" applyBorder="1" applyAlignment="1">
      <alignment vertical="center" wrapText="1"/>
    </xf>
    <xf numFmtId="173" fontId="3" fillId="52" borderId="21" xfId="122" applyFont="1" applyFill="1" applyBorder="1" applyAlignment="1">
      <alignment horizontal="center" vertical="center" wrapText="1"/>
    </xf>
    <xf numFmtId="181" fontId="3" fillId="52" borderId="19" xfId="122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vertical="center" wrapText="1"/>
    </xf>
    <xf numFmtId="0" fontId="0" fillId="0" borderId="21" xfId="90" applyFont="1" applyFill="1" applyBorder="1" applyAlignment="1">
      <alignment horizontal="center" vertical="center"/>
      <protection/>
    </xf>
    <xf numFmtId="0" fontId="0" fillId="53" borderId="95" xfId="0" applyFont="1" applyFill="1" applyBorder="1" applyAlignment="1">
      <alignment horizontal="center" vertical="center"/>
    </xf>
    <xf numFmtId="0" fontId="0" fillId="52" borderId="96" xfId="0" applyFont="1" applyFill="1" applyBorder="1" applyAlignment="1">
      <alignment/>
    </xf>
    <xf numFmtId="0" fontId="75" fillId="53" borderId="95" xfId="0" applyFont="1" applyFill="1" applyBorder="1" applyAlignment="1">
      <alignment horizontal="center" vertical="center"/>
    </xf>
    <xf numFmtId="0" fontId="0" fillId="52" borderId="97" xfId="0" applyFont="1" applyFill="1" applyBorder="1" applyAlignment="1">
      <alignment/>
    </xf>
    <xf numFmtId="0" fontId="75" fillId="53" borderId="61" xfId="0" applyFont="1" applyFill="1" applyBorder="1" applyAlignment="1">
      <alignment horizontal="center" vertical="center"/>
    </xf>
    <xf numFmtId="0" fontId="0" fillId="53" borderId="61" xfId="0" applyFont="1" applyFill="1" applyBorder="1" applyAlignment="1">
      <alignment horizontal="center" vertical="center"/>
    </xf>
    <xf numFmtId="4" fontId="0" fillId="53" borderId="61" xfId="0" applyNumberFormat="1" applyFont="1" applyFill="1" applyBorder="1" applyAlignment="1">
      <alignment horizontal="center" vertical="center"/>
    </xf>
    <xf numFmtId="4" fontId="0" fillId="53" borderId="61" xfId="0" applyNumberFormat="1" applyFont="1" applyFill="1" applyBorder="1" applyAlignment="1">
      <alignment vertical="center"/>
    </xf>
    <xf numFmtId="4" fontId="0" fillId="53" borderId="62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4" fontId="0" fillId="52" borderId="17" xfId="0" applyNumberFormat="1" applyFont="1" applyFill="1" applyBorder="1" applyAlignment="1">
      <alignment horizontal="center" vertical="center" wrapText="1"/>
    </xf>
    <xf numFmtId="4" fontId="74" fillId="0" borderId="71" xfId="0" applyNumberFormat="1" applyFont="1" applyFill="1" applyBorder="1" applyAlignment="1">
      <alignment horizontal="center" vertical="center"/>
    </xf>
    <xf numFmtId="0" fontId="0" fillId="0" borderId="35" xfId="89" applyFont="1" applyFill="1" applyBorder="1" applyAlignment="1">
      <alignment horizontal="left" vertical="center" wrapText="1"/>
      <protection/>
    </xf>
    <xf numFmtId="173" fontId="0" fillId="0" borderId="34" xfId="122" applyFont="1" applyFill="1" applyBorder="1" applyAlignment="1">
      <alignment horizontal="center" vertical="center" wrapText="1"/>
    </xf>
    <xf numFmtId="4" fontId="3" fillId="0" borderId="34" xfId="122" applyNumberFormat="1" applyFont="1" applyFill="1" applyBorder="1" applyAlignment="1">
      <alignment horizontal="right" vertical="center" wrapText="1"/>
    </xf>
    <xf numFmtId="49" fontId="74" fillId="0" borderId="16" xfId="0" applyNumberFormat="1" applyFont="1" applyFill="1" applyBorder="1" applyAlignment="1">
      <alignment horizontal="center" vertical="center"/>
    </xf>
    <xf numFmtId="0" fontId="74" fillId="52" borderId="98" xfId="0" applyFont="1" applyFill="1" applyBorder="1" applyAlignment="1">
      <alignment vertical="center" wrapText="1"/>
    </xf>
    <xf numFmtId="0" fontId="0" fillId="52" borderId="61" xfId="0" applyFont="1" applyFill="1" applyBorder="1" applyAlignment="1">
      <alignment vertical="center" wrapText="1"/>
    </xf>
    <xf numFmtId="4" fontId="0" fillId="52" borderId="61" xfId="0" applyNumberFormat="1" applyFont="1" applyFill="1" applyBorder="1" applyAlignment="1">
      <alignment vertical="center" wrapText="1"/>
    </xf>
    <xf numFmtId="4" fontId="0" fillId="0" borderId="62" xfId="0" applyNumberFormat="1" applyFont="1" applyFill="1" applyBorder="1" applyAlignment="1">
      <alignment horizontal="center" vertical="center" wrapText="1"/>
    </xf>
    <xf numFmtId="0" fontId="0" fillId="53" borderId="99" xfId="0" applyFont="1" applyFill="1" applyBorder="1" applyAlignment="1">
      <alignment horizontal="center" vertical="center"/>
    </xf>
    <xf numFmtId="0" fontId="75" fillId="53" borderId="100" xfId="0" applyFont="1" applyFill="1" applyBorder="1" applyAlignment="1">
      <alignment horizontal="center" vertical="center"/>
    </xf>
    <xf numFmtId="0" fontId="0" fillId="53" borderId="100" xfId="0" applyFont="1" applyFill="1" applyBorder="1" applyAlignment="1">
      <alignment horizontal="center" vertical="center"/>
    </xf>
    <xf numFmtId="4" fontId="0" fillId="53" borderId="100" xfId="0" applyNumberFormat="1" applyFont="1" applyFill="1" applyBorder="1" applyAlignment="1">
      <alignment horizontal="center" vertical="center"/>
    </xf>
    <xf numFmtId="4" fontId="0" fillId="53" borderId="100" xfId="0" applyNumberFormat="1" applyFont="1" applyFill="1" applyBorder="1" applyAlignment="1">
      <alignment vertical="center"/>
    </xf>
    <xf numFmtId="4" fontId="0" fillId="53" borderId="10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31" fillId="0" borderId="26" xfId="0" applyNumberFormat="1" applyFont="1" applyBorder="1" applyAlignment="1">
      <alignment horizontal="center"/>
    </xf>
    <xf numFmtId="0" fontId="35" fillId="0" borderId="26" xfId="0" applyNumberFormat="1" applyFont="1" applyBorder="1" applyAlignment="1">
      <alignment horizontal="right" vertical="center"/>
    </xf>
    <xf numFmtId="0" fontId="34" fillId="0" borderId="26" xfId="0" applyNumberFormat="1" applyFont="1" applyFill="1" applyBorder="1" applyAlignment="1">
      <alignment horizontal="right" vertical="center"/>
    </xf>
    <xf numFmtId="0" fontId="31" fillId="0" borderId="0" xfId="0" applyNumberFormat="1" applyFont="1" applyBorder="1" applyAlignment="1">
      <alignment horizontal="center" wrapText="1"/>
    </xf>
    <xf numFmtId="0" fontId="31" fillId="0" borderId="0" xfId="0" applyNumberFormat="1" applyFont="1" applyBorder="1" applyAlignment="1">
      <alignment wrapText="1"/>
    </xf>
    <xf numFmtId="0" fontId="24" fillId="0" borderId="26" xfId="89" applyFont="1" applyBorder="1" applyAlignment="1" applyProtection="1">
      <alignment/>
      <protection/>
    </xf>
    <xf numFmtId="0" fontId="24" fillId="0" borderId="0" xfId="89" applyFont="1" applyBorder="1" applyAlignment="1" applyProtection="1">
      <alignment/>
      <protection/>
    </xf>
    <xf numFmtId="0" fontId="36" fillId="0" borderId="26" xfId="89" applyFont="1" applyBorder="1" applyProtection="1">
      <alignment/>
      <protection/>
    </xf>
    <xf numFmtId="0" fontId="37" fillId="0" borderId="0" xfId="89" applyFont="1" applyBorder="1" applyAlignment="1" applyProtection="1">
      <alignment/>
      <protection/>
    </xf>
    <xf numFmtId="0" fontId="24" fillId="0" borderId="0" xfId="89" applyFont="1" applyBorder="1" applyAlignment="1" applyProtection="1">
      <alignment horizontal="center"/>
      <protection/>
    </xf>
    <xf numFmtId="0" fontId="24" fillId="0" borderId="0" xfId="89" applyFont="1" applyFill="1" applyBorder="1" applyAlignment="1" applyProtection="1">
      <alignment/>
      <protection/>
    </xf>
    <xf numFmtId="0" fontId="3" fillId="0" borderId="26" xfId="89" applyFont="1" applyBorder="1" applyProtection="1">
      <alignment/>
      <protection/>
    </xf>
    <xf numFmtId="0" fontId="3" fillId="56" borderId="0" xfId="89" applyFont="1" applyFill="1" applyBorder="1" applyAlignment="1" applyProtection="1">
      <alignment/>
      <protection locked="0"/>
    </xf>
    <xf numFmtId="0" fontId="3" fillId="0" borderId="0" xfId="89" applyFont="1" applyBorder="1" applyAlignment="1" applyProtection="1">
      <alignment/>
      <protection/>
    </xf>
    <xf numFmtId="0" fontId="36" fillId="0" borderId="0" xfId="89" applyFont="1" applyBorder="1" applyAlignment="1" applyProtection="1">
      <alignment/>
      <protection/>
    </xf>
    <xf numFmtId="0" fontId="37" fillId="0" borderId="0" xfId="89" applyFont="1" applyFill="1" applyBorder="1" applyAlignment="1" applyProtection="1">
      <alignment/>
      <protection/>
    </xf>
    <xf numFmtId="0" fontId="3" fillId="0" borderId="26" xfId="89" applyFont="1" applyBorder="1" applyAlignment="1" applyProtection="1">
      <alignment horizontal="right"/>
      <protection/>
    </xf>
    <xf numFmtId="0" fontId="3" fillId="0" borderId="23" xfId="89" applyFont="1" applyBorder="1" applyProtection="1">
      <alignment/>
      <protection/>
    </xf>
    <xf numFmtId="0" fontId="3" fillId="0" borderId="24" xfId="89" applyFont="1" applyBorder="1" applyProtection="1">
      <alignment/>
      <protection/>
    </xf>
    <xf numFmtId="176" fontId="32" fillId="0" borderId="24" xfId="96" applyNumberFormat="1" applyFont="1" applyBorder="1" applyAlignment="1" applyProtection="1">
      <alignment horizontal="center"/>
      <protection/>
    </xf>
    <xf numFmtId="0" fontId="3" fillId="0" borderId="24" xfId="89" applyFont="1" applyFill="1" applyBorder="1" applyProtection="1">
      <alignment/>
      <protection/>
    </xf>
    <xf numFmtId="0" fontId="0" fillId="0" borderId="24" xfId="0" applyBorder="1" applyAlignment="1">
      <alignment/>
    </xf>
    <xf numFmtId="0" fontId="0" fillId="0" borderId="102" xfId="0" applyBorder="1" applyAlignment="1">
      <alignment/>
    </xf>
    <xf numFmtId="49" fontId="24" fillId="0" borderId="32" xfId="89" applyNumberFormat="1" applyFont="1" applyFill="1" applyBorder="1" applyAlignment="1">
      <alignment horizontal="center" vertical="center" wrapText="1"/>
      <protection/>
    </xf>
    <xf numFmtId="49" fontId="24" fillId="0" borderId="103" xfId="89" applyNumberFormat="1" applyFont="1" applyFill="1" applyBorder="1" applyAlignment="1">
      <alignment horizontal="center" vertical="center" wrapText="1"/>
      <protection/>
    </xf>
    <xf numFmtId="49" fontId="24" fillId="0" borderId="90" xfId="89" applyNumberFormat="1" applyFont="1" applyFill="1" applyBorder="1" applyAlignment="1">
      <alignment horizontal="center" vertical="center" wrapText="1"/>
      <protection/>
    </xf>
    <xf numFmtId="49" fontId="24" fillId="0" borderId="23" xfId="89" applyNumberFormat="1" applyFont="1" applyFill="1" applyBorder="1" applyAlignment="1">
      <alignment horizontal="center" vertical="center" wrapText="1"/>
      <protection/>
    </xf>
    <xf numFmtId="49" fontId="24" fillId="0" borderId="24" xfId="89" applyNumberFormat="1" applyFont="1" applyFill="1" applyBorder="1" applyAlignment="1">
      <alignment horizontal="center" vertical="center" wrapText="1"/>
      <protection/>
    </xf>
    <xf numFmtId="49" fontId="24" fillId="0" borderId="102" xfId="89" applyNumberFormat="1" applyFont="1" applyFill="1" applyBorder="1" applyAlignment="1">
      <alignment horizontal="center" vertical="center" wrapText="1"/>
      <protection/>
    </xf>
    <xf numFmtId="0" fontId="24" fillId="0" borderId="24" xfId="0" applyFont="1" applyFill="1" applyBorder="1" applyAlignment="1">
      <alignment horizontal="left" vertical="center" wrapText="1"/>
    </xf>
    <xf numFmtId="0" fontId="24" fillId="0" borderId="102" xfId="0" applyFont="1" applyFill="1" applyBorder="1" applyAlignment="1">
      <alignment horizontal="left" vertical="center" wrapText="1"/>
    </xf>
    <xf numFmtId="0" fontId="26" fillId="52" borderId="23" xfId="0" applyFont="1" applyFill="1" applyBorder="1" applyAlignment="1">
      <alignment horizontal="center" vertical="center"/>
    </xf>
    <xf numFmtId="0" fontId="26" fillId="52" borderId="24" xfId="0" applyFont="1" applyFill="1" applyBorder="1" applyAlignment="1">
      <alignment horizontal="center" vertical="center"/>
    </xf>
    <xf numFmtId="0" fontId="23" fillId="52" borderId="104" xfId="0" applyFont="1" applyFill="1" applyBorder="1" applyAlignment="1">
      <alignment horizontal="center" vertical="center" wrapText="1"/>
    </xf>
    <xf numFmtId="0" fontId="23" fillId="52" borderId="22" xfId="0" applyFont="1" applyFill="1" applyBorder="1" applyAlignment="1">
      <alignment horizontal="center" vertical="center" wrapText="1"/>
    </xf>
    <xf numFmtId="0" fontId="23" fillId="52" borderId="59" xfId="0" applyFont="1" applyFill="1" applyBorder="1" applyAlignment="1">
      <alignment horizontal="center" vertical="center" wrapText="1"/>
    </xf>
    <xf numFmtId="0" fontId="24" fillId="52" borderId="104" xfId="0" applyFont="1" applyFill="1" applyBorder="1" applyAlignment="1">
      <alignment horizontal="left" vertical="center"/>
    </xf>
    <xf numFmtId="0" fontId="24" fillId="52" borderId="22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 wrapText="1"/>
    </xf>
    <xf numFmtId="0" fontId="24" fillId="0" borderId="59" xfId="0" applyFont="1" applyFill="1" applyBorder="1" applyAlignment="1">
      <alignment horizontal="left" vertical="center" wrapText="1"/>
    </xf>
    <xf numFmtId="0" fontId="24" fillId="52" borderId="26" xfId="0" applyFont="1" applyFill="1" applyBorder="1" applyAlignment="1">
      <alignment horizontal="left" vertical="center"/>
    </xf>
    <xf numFmtId="0" fontId="24" fillId="52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60" xfId="0" applyFont="1" applyFill="1" applyBorder="1" applyAlignment="1">
      <alignment horizontal="left" vertical="center" wrapText="1"/>
    </xf>
    <xf numFmtId="0" fontId="74" fillId="52" borderId="20" xfId="0" applyFont="1" applyFill="1" applyBorder="1" applyAlignment="1">
      <alignment horizontal="left" vertical="center" wrapText="1"/>
    </xf>
    <xf numFmtId="0" fontId="74" fillId="52" borderId="29" xfId="0" applyFont="1" applyFill="1" applyBorder="1" applyAlignment="1">
      <alignment horizontal="left" vertical="center" wrapText="1"/>
    </xf>
    <xf numFmtId="0" fontId="74" fillId="52" borderId="45" xfId="0" applyFont="1" applyFill="1" applyBorder="1" applyAlignment="1">
      <alignment horizontal="left" vertical="center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82" fillId="52" borderId="104" xfId="0" applyFont="1" applyFill="1" applyBorder="1" applyAlignment="1">
      <alignment horizontal="center" wrapText="1"/>
    </xf>
    <xf numFmtId="0" fontId="82" fillId="52" borderId="22" xfId="0" applyFont="1" applyFill="1" applyBorder="1" applyAlignment="1">
      <alignment horizontal="center" wrapText="1"/>
    </xf>
    <xf numFmtId="0" fontId="82" fillId="52" borderId="59" xfId="0" applyFont="1" applyFill="1" applyBorder="1" applyAlignment="1">
      <alignment horizontal="center" wrapText="1"/>
    </xf>
    <xf numFmtId="0" fontId="0" fillId="52" borderId="26" xfId="0" applyFont="1" applyFill="1" applyBorder="1" applyAlignment="1">
      <alignment horizontal="center"/>
    </xf>
    <xf numFmtId="0" fontId="0" fillId="52" borderId="0" xfId="0" applyFont="1" applyFill="1" applyBorder="1" applyAlignment="1">
      <alignment horizontal="center"/>
    </xf>
    <xf numFmtId="0" fontId="0" fillId="52" borderId="60" xfId="0" applyFont="1" applyFill="1" applyBorder="1" applyAlignment="1">
      <alignment horizontal="center"/>
    </xf>
    <xf numFmtId="0" fontId="23" fillId="52" borderId="105" xfId="0" applyFont="1" applyFill="1" applyBorder="1" applyAlignment="1">
      <alignment horizontal="center" vertical="center"/>
    </xf>
    <xf numFmtId="0" fontId="23" fillId="52" borderId="106" xfId="0" applyFont="1" applyFill="1" applyBorder="1" applyAlignment="1">
      <alignment horizontal="center" vertical="center"/>
    </xf>
    <xf numFmtId="0" fontId="23" fillId="52" borderId="107" xfId="0" applyFont="1" applyFill="1" applyBorder="1" applyAlignment="1">
      <alignment horizontal="center" vertical="center"/>
    </xf>
    <xf numFmtId="0" fontId="74" fillId="0" borderId="20" xfId="0" applyFont="1" applyBorder="1" applyAlignment="1">
      <alignment horizontal="left" vertical="center"/>
    </xf>
    <xf numFmtId="0" fontId="74" fillId="0" borderId="29" xfId="0" applyFont="1" applyBorder="1" applyAlignment="1">
      <alignment horizontal="left" vertical="center"/>
    </xf>
    <xf numFmtId="0" fontId="74" fillId="0" borderId="45" xfId="0" applyFont="1" applyBorder="1" applyAlignment="1">
      <alignment horizontal="left" vertical="center"/>
    </xf>
    <xf numFmtId="0" fontId="0" fillId="52" borderId="23" xfId="0" applyFont="1" applyFill="1" applyBorder="1" applyAlignment="1">
      <alignment horizontal="center"/>
    </xf>
    <xf numFmtId="0" fontId="0" fillId="52" borderId="24" xfId="0" applyFont="1" applyFill="1" applyBorder="1" applyAlignment="1">
      <alignment horizontal="center"/>
    </xf>
    <xf numFmtId="0" fontId="0" fillId="52" borderId="102" xfId="0" applyFont="1" applyFill="1" applyBorder="1" applyAlignment="1">
      <alignment horizontal="center"/>
    </xf>
    <xf numFmtId="0" fontId="24" fillId="0" borderId="26" xfId="89" applyFont="1" applyBorder="1" applyAlignment="1" applyProtection="1">
      <alignment/>
      <protection/>
    </xf>
    <xf numFmtId="0" fontId="24" fillId="0" borderId="0" xfId="89" applyFont="1" applyBorder="1" applyAlignment="1" applyProtection="1">
      <alignment/>
      <protection/>
    </xf>
    <xf numFmtId="10" fontId="40" fillId="57" borderId="108" xfId="95" applyNumberFormat="1" applyFont="1" applyFill="1" applyBorder="1" applyAlignment="1" applyProtection="1">
      <alignment horizontal="center" vertical="center" wrapText="1"/>
      <protection/>
    </xf>
    <xf numFmtId="10" fontId="40" fillId="57" borderId="94" xfId="95" applyNumberFormat="1" applyFont="1" applyFill="1" applyBorder="1" applyAlignment="1" applyProtection="1">
      <alignment horizontal="center" vertical="center" wrapText="1"/>
      <protection/>
    </xf>
    <xf numFmtId="10" fontId="40" fillId="57" borderId="98" xfId="95" applyNumberFormat="1" applyFont="1" applyFill="1" applyBorder="1" applyAlignment="1" applyProtection="1">
      <alignment horizontal="center" vertical="center" wrapText="1"/>
      <protection/>
    </xf>
    <xf numFmtId="10" fontId="40" fillId="57" borderId="109" xfId="95" applyNumberFormat="1" applyFont="1" applyFill="1" applyBorder="1" applyAlignment="1" applyProtection="1">
      <alignment horizontal="center" vertical="center" wrapText="1"/>
      <protection/>
    </xf>
    <xf numFmtId="0" fontId="33" fillId="0" borderId="26" xfId="0" applyNumberFormat="1" applyFont="1" applyBorder="1" applyAlignment="1">
      <alignment horizontal="left"/>
    </xf>
    <xf numFmtId="0" fontId="33" fillId="0" borderId="0" xfId="0" applyNumberFormat="1" applyFont="1" applyBorder="1" applyAlignment="1">
      <alignment horizontal="left"/>
    </xf>
    <xf numFmtId="10" fontId="31" fillId="56" borderId="0" xfId="0" applyNumberFormat="1" applyFont="1" applyFill="1" applyBorder="1" applyAlignment="1" applyProtection="1">
      <alignment vertical="center" wrapText="1"/>
      <protection locked="0"/>
    </xf>
    <xf numFmtId="0" fontId="60" fillId="0" borderId="110" xfId="0" applyFont="1" applyBorder="1" applyAlignment="1">
      <alignment horizontal="center" vertical="center"/>
    </xf>
    <xf numFmtId="0" fontId="60" fillId="0" borderId="77" xfId="0" applyFont="1" applyBorder="1" applyAlignment="1">
      <alignment horizontal="center" vertical="center"/>
    </xf>
    <xf numFmtId="0" fontId="56" fillId="0" borderId="23" xfId="0" applyFont="1" applyBorder="1" applyAlignment="1">
      <alignment horizontal="right" vertical="center"/>
    </xf>
    <xf numFmtId="0" fontId="56" fillId="0" borderId="24" xfId="0" applyFont="1" applyBorder="1" applyAlignment="1">
      <alignment horizontal="right" vertical="center"/>
    </xf>
    <xf numFmtId="0" fontId="56" fillId="0" borderId="111" xfId="0" applyFont="1" applyBorder="1" applyAlignment="1">
      <alignment horizontal="right" vertical="center"/>
    </xf>
    <xf numFmtId="0" fontId="54" fillId="0" borderId="112" xfId="0" applyFont="1" applyBorder="1" applyAlignment="1">
      <alignment horizontal="center" vertical="center"/>
    </xf>
    <xf numFmtId="0" fontId="54" fillId="0" borderId="113" xfId="0" applyFont="1" applyBorder="1" applyAlignment="1">
      <alignment horizontal="center" vertical="center"/>
    </xf>
    <xf numFmtId="0" fontId="56" fillId="0" borderId="114" xfId="0" applyFont="1" applyBorder="1" applyAlignment="1">
      <alignment horizontal="center" vertical="center"/>
    </xf>
    <xf numFmtId="173" fontId="56" fillId="0" borderId="75" xfId="0" applyNumberFormat="1" applyFont="1" applyBorder="1" applyAlignment="1">
      <alignment horizontal="left" vertical="center"/>
    </xf>
    <xf numFmtId="10" fontId="55" fillId="0" borderId="75" xfId="95" applyNumberFormat="1" applyFont="1" applyBorder="1" applyAlignment="1">
      <alignment horizontal="center" vertical="center"/>
    </xf>
    <xf numFmtId="4" fontId="55" fillId="0" borderId="75" xfId="101" applyNumberFormat="1" applyFont="1" applyBorder="1" applyAlignment="1">
      <alignment horizontal="center" vertical="center"/>
    </xf>
    <xf numFmtId="173" fontId="56" fillId="0" borderId="75" xfId="0" applyNumberFormat="1" applyFont="1" applyBorder="1" applyAlignment="1">
      <alignment horizontal="left" vertical="center" wrapText="1"/>
    </xf>
    <xf numFmtId="184" fontId="56" fillId="0" borderId="75" xfId="0" applyNumberFormat="1" applyFont="1" applyBorder="1" applyAlignment="1">
      <alignment horizontal="left" vertical="center"/>
    </xf>
    <xf numFmtId="0" fontId="56" fillId="0" borderId="75" xfId="0" applyFont="1" applyBorder="1" applyAlignment="1">
      <alignment horizontal="left" vertical="center"/>
    </xf>
    <xf numFmtId="0" fontId="56" fillId="0" borderId="75" xfId="0" applyFont="1" applyBorder="1" applyAlignment="1">
      <alignment horizontal="justify" vertical="center"/>
    </xf>
    <xf numFmtId="0" fontId="59" fillId="0" borderId="23" xfId="0" applyFont="1" applyBorder="1" applyAlignment="1">
      <alignment horizontal="left"/>
    </xf>
    <xf numFmtId="0" fontId="59" fillId="0" borderId="24" xfId="0" applyFont="1" applyBorder="1" applyAlignment="1">
      <alignment horizontal="left"/>
    </xf>
    <xf numFmtId="0" fontId="59" fillId="0" borderId="102" xfId="0" applyFont="1" applyBorder="1" applyAlignment="1">
      <alignment horizontal="left"/>
    </xf>
    <xf numFmtId="0" fontId="56" fillId="0" borderId="97" xfId="0" applyFont="1" applyBorder="1" applyAlignment="1">
      <alignment horizontal="center" vertical="center"/>
    </xf>
    <xf numFmtId="0" fontId="56" fillId="0" borderId="74" xfId="0" applyFont="1" applyBorder="1" applyAlignment="1">
      <alignment horizontal="justify" vertical="center"/>
    </xf>
    <xf numFmtId="0" fontId="83" fillId="0" borderId="75" xfId="0" applyFont="1" applyBorder="1" applyAlignment="1">
      <alignment/>
    </xf>
    <xf numFmtId="10" fontId="55" fillId="0" borderId="74" xfId="95" applyNumberFormat="1" applyFont="1" applyBorder="1" applyAlignment="1">
      <alignment horizontal="center" vertical="center"/>
    </xf>
    <xf numFmtId="4" fontId="55" fillId="0" borderId="74" xfId="101" applyNumberFormat="1" applyFont="1" applyBorder="1" applyAlignment="1">
      <alignment horizontal="center" vertical="center"/>
    </xf>
    <xf numFmtId="0" fontId="56" fillId="0" borderId="115" xfId="0" applyFont="1" applyBorder="1" applyAlignment="1">
      <alignment horizontal="right" vertical="center"/>
    </xf>
    <xf numFmtId="0" fontId="56" fillId="0" borderId="116" xfId="0" applyFont="1" applyBorder="1" applyAlignment="1">
      <alignment horizontal="right" vertical="center"/>
    </xf>
    <xf numFmtId="0" fontId="56" fillId="0" borderId="117" xfId="0" applyFont="1" applyBorder="1" applyAlignment="1">
      <alignment horizontal="right" vertical="center"/>
    </xf>
    <xf numFmtId="0" fontId="56" fillId="0" borderId="118" xfId="0" applyFont="1" applyBorder="1" applyAlignment="1">
      <alignment horizontal="right" vertical="center"/>
    </xf>
    <xf numFmtId="0" fontId="56" fillId="0" borderId="119" xfId="0" applyFont="1" applyBorder="1" applyAlignment="1">
      <alignment horizontal="right" vertical="center"/>
    </xf>
    <xf numFmtId="0" fontId="56" fillId="0" borderId="120" xfId="0" applyFont="1" applyBorder="1" applyAlignment="1">
      <alignment horizontal="right" vertical="center"/>
    </xf>
    <xf numFmtId="0" fontId="57" fillId="0" borderId="104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59" xfId="0" applyFont="1" applyBorder="1" applyAlignment="1">
      <alignment horizontal="center"/>
    </xf>
    <xf numFmtId="0" fontId="48" fillId="0" borderId="26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173" fontId="55" fillId="0" borderId="121" xfId="101" applyFont="1" applyBorder="1" applyAlignment="1">
      <alignment horizontal="center" textRotation="90"/>
    </xf>
    <xf numFmtId="0" fontId="83" fillId="0" borderId="17" xfId="0" applyFont="1" applyBorder="1" applyAlignment="1">
      <alignment/>
    </xf>
    <xf numFmtId="0" fontId="54" fillId="0" borderId="106" xfId="0" applyFont="1" applyBorder="1" applyAlignment="1">
      <alignment horizontal="center" vertical="center"/>
    </xf>
    <xf numFmtId="0" fontId="54" fillId="0" borderId="107" xfId="0" applyFont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6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8" fillId="52" borderId="18" xfId="88" applyFont="1" applyFill="1" applyBorder="1" applyAlignment="1">
      <alignment horizontal="right"/>
      <protection/>
    </xf>
    <xf numFmtId="0" fontId="8" fillId="52" borderId="19" xfId="88" applyFont="1" applyFill="1" applyBorder="1" applyAlignment="1">
      <alignment horizontal="right"/>
      <protection/>
    </xf>
    <xf numFmtId="0" fontId="0" fillId="0" borderId="20" xfId="0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21" xfId="0" applyBorder="1" applyAlignment="1">
      <alignment horizontal="left"/>
    </xf>
    <xf numFmtId="174" fontId="28" fillId="52" borderId="20" xfId="0" applyNumberFormat="1" applyFont="1" applyFill="1" applyBorder="1" applyAlignment="1">
      <alignment horizontal="left" vertical="center" wrapText="1"/>
    </xf>
    <xf numFmtId="174" fontId="28" fillId="52" borderId="29" xfId="0" applyNumberFormat="1" applyFont="1" applyFill="1" applyBorder="1" applyAlignment="1">
      <alignment horizontal="left" vertical="center" wrapText="1"/>
    </xf>
    <xf numFmtId="174" fontId="28" fillId="52" borderId="21" xfId="0" applyNumberFormat="1" applyFont="1" applyFill="1" applyBorder="1" applyAlignment="1">
      <alignment horizontal="left" vertical="center" wrapText="1"/>
    </xf>
    <xf numFmtId="174" fontId="28" fillId="52" borderId="20" xfId="0" applyNumberFormat="1" applyFont="1" applyFill="1" applyBorder="1" applyAlignment="1">
      <alignment horizontal="left" vertical="top" wrapText="1"/>
    </xf>
    <xf numFmtId="174" fontId="28" fillId="52" borderId="29" xfId="0" applyNumberFormat="1" applyFont="1" applyFill="1" applyBorder="1" applyAlignment="1">
      <alignment horizontal="left" vertical="top" wrapText="1"/>
    </xf>
    <xf numFmtId="174" fontId="28" fillId="52" borderId="21" xfId="0" applyNumberFormat="1" applyFont="1" applyFill="1" applyBorder="1" applyAlignment="1">
      <alignment horizontal="left" vertical="top" wrapText="1"/>
    </xf>
    <xf numFmtId="0" fontId="8" fillId="52" borderId="28" xfId="88" applyFont="1" applyFill="1" applyBorder="1" applyAlignment="1">
      <alignment horizontal="center"/>
      <protection/>
    </xf>
    <xf numFmtId="0" fontId="8" fillId="52" borderId="29" xfId="88" applyFont="1" applyFill="1" applyBorder="1" applyAlignment="1">
      <alignment horizontal="center"/>
      <protection/>
    </xf>
    <xf numFmtId="0" fontId="8" fillId="52" borderId="45" xfId="88" applyFont="1" applyFill="1" applyBorder="1" applyAlignment="1">
      <alignment horizontal="center"/>
      <protection/>
    </xf>
    <xf numFmtId="0" fontId="4" fillId="52" borderId="32" xfId="88" applyFont="1" applyFill="1" applyBorder="1" applyAlignment="1">
      <alignment horizontal="right"/>
      <protection/>
    </xf>
    <xf numFmtId="0" fontId="4" fillId="52" borderId="103" xfId="88" applyFont="1" applyFill="1" applyBorder="1" applyAlignment="1">
      <alignment horizontal="right"/>
      <protection/>
    </xf>
    <xf numFmtId="0" fontId="4" fillId="52" borderId="94" xfId="88" applyFont="1" applyFill="1" applyBorder="1" applyAlignment="1">
      <alignment horizontal="right"/>
      <protection/>
    </xf>
    <xf numFmtId="0" fontId="4" fillId="52" borderId="0" xfId="88" applyFont="1" applyFill="1" applyBorder="1" applyAlignment="1">
      <alignment horizontal="left" vertical="top"/>
      <protection/>
    </xf>
    <xf numFmtId="0" fontId="4" fillId="52" borderId="60" xfId="88" applyFont="1" applyFill="1" applyBorder="1" applyAlignment="1">
      <alignment horizontal="left" vertical="top"/>
      <protection/>
    </xf>
    <xf numFmtId="0" fontId="8" fillId="52" borderId="41" xfId="88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54" borderId="28" xfId="0" applyFill="1" applyBorder="1" applyAlignment="1">
      <alignment horizontal="center"/>
    </xf>
    <xf numFmtId="0" fontId="0" fillId="54" borderId="29" xfId="0" applyFill="1" applyBorder="1" applyAlignment="1">
      <alignment horizontal="center"/>
    </xf>
    <xf numFmtId="0" fontId="0" fillId="54" borderId="45" xfId="0" applyFill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1" xfId="0" applyBorder="1" applyAlignment="1">
      <alignment horizontal="right"/>
    </xf>
    <xf numFmtId="0" fontId="80" fillId="0" borderId="20" xfId="0" applyFont="1" applyBorder="1" applyAlignment="1">
      <alignment horizontal="center"/>
    </xf>
    <xf numFmtId="0" fontId="80" fillId="0" borderId="29" xfId="0" applyFont="1" applyBorder="1" applyAlignment="1">
      <alignment horizontal="center"/>
    </xf>
    <xf numFmtId="0" fontId="80" fillId="0" borderId="21" xfId="0" applyFont="1" applyBorder="1" applyAlignment="1">
      <alignment horizontal="center"/>
    </xf>
    <xf numFmtId="0" fontId="23" fillId="55" borderId="104" xfId="92" applyFont="1" applyFill="1" applyBorder="1" applyAlignment="1">
      <alignment horizontal="center" vertical="center" wrapText="1"/>
      <protection/>
    </xf>
    <xf numFmtId="0" fontId="23" fillId="55" borderId="22" xfId="92" applyFont="1" applyFill="1" applyBorder="1" applyAlignment="1">
      <alignment horizontal="center" vertical="center" wrapText="1"/>
      <protection/>
    </xf>
    <xf numFmtId="0" fontId="23" fillId="55" borderId="26" xfId="92" applyFont="1" applyFill="1" applyBorder="1" applyAlignment="1">
      <alignment horizontal="center" vertical="center" wrapText="1"/>
      <protection/>
    </xf>
    <xf numFmtId="0" fontId="23" fillId="55" borderId="0" xfId="92" applyFont="1" applyFill="1" applyBorder="1" applyAlignment="1">
      <alignment horizontal="center" vertical="center" wrapText="1"/>
      <protection/>
    </xf>
    <xf numFmtId="0" fontId="30" fillId="52" borderId="0" xfId="88" applyFont="1" applyFill="1" applyBorder="1" applyAlignment="1">
      <alignment horizontal="center" vertical="center" wrapText="1"/>
      <protection/>
    </xf>
    <xf numFmtId="0" fontId="30" fillId="52" borderId="122" xfId="88" applyFont="1" applyFill="1" applyBorder="1" applyAlignment="1">
      <alignment horizontal="center" vertical="center" wrapText="1"/>
      <protection/>
    </xf>
    <xf numFmtId="0" fontId="30" fillId="52" borderId="61" xfId="88" applyFont="1" applyFill="1" applyBorder="1" applyAlignment="1">
      <alignment horizontal="center" vertical="center" wrapText="1"/>
      <protection/>
    </xf>
    <xf numFmtId="0" fontId="30" fillId="52" borderId="109" xfId="88" applyFont="1" applyFill="1" applyBorder="1" applyAlignment="1">
      <alignment horizontal="center" vertical="center" wrapText="1"/>
      <protection/>
    </xf>
    <xf numFmtId="0" fontId="8" fillId="52" borderId="18" xfId="88" applyFont="1" applyFill="1" applyBorder="1" applyAlignment="1">
      <alignment horizontal="center" vertical="center" wrapText="1"/>
      <protection/>
    </xf>
    <xf numFmtId="0" fontId="8" fillId="52" borderId="19" xfId="88" applyFont="1" applyFill="1" applyBorder="1" applyAlignment="1">
      <alignment horizontal="center" vertical="center" wrapText="1"/>
      <protection/>
    </xf>
    <xf numFmtId="0" fontId="4" fillId="52" borderId="0" xfId="88" applyFont="1" applyFill="1" applyBorder="1" applyAlignment="1">
      <alignment horizontal="left" vertical="top" wrapText="1"/>
      <protection/>
    </xf>
    <xf numFmtId="0" fontId="4" fillId="52" borderId="60" xfId="88" applyFont="1" applyFill="1" applyBorder="1" applyAlignment="1">
      <alignment horizontal="left" vertical="top" wrapText="1"/>
      <protection/>
    </xf>
    <xf numFmtId="0" fontId="80" fillId="0" borderId="20" xfId="0" applyFont="1" applyBorder="1" applyAlignment="1">
      <alignment horizontal="center" vertical="center"/>
    </xf>
    <xf numFmtId="0" fontId="80" fillId="0" borderId="29" xfId="0" applyFont="1" applyBorder="1" applyAlignment="1">
      <alignment horizontal="center" vertical="center"/>
    </xf>
    <xf numFmtId="0" fontId="80" fillId="0" borderId="21" xfId="0" applyFont="1" applyBorder="1" applyAlignment="1">
      <alignment horizontal="center" vertical="center"/>
    </xf>
    <xf numFmtId="0" fontId="0" fillId="0" borderId="29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84" fillId="0" borderId="20" xfId="0" applyFont="1" applyBorder="1" applyAlignment="1">
      <alignment horizontal="left" wrapText="1"/>
    </xf>
    <xf numFmtId="0" fontId="84" fillId="0" borderId="29" xfId="0" applyFont="1" applyBorder="1" applyAlignment="1">
      <alignment horizontal="left" wrapText="1"/>
    </xf>
    <xf numFmtId="0" fontId="84" fillId="0" borderId="21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 horizontal="right"/>
    </xf>
    <xf numFmtId="0" fontId="0" fillId="0" borderId="2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</cellXfs>
  <cellStyles count="110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Comma 2" xfId="59"/>
    <cellStyle name="Comma 3" xfId="60"/>
    <cellStyle name="Comma 4" xfId="61"/>
    <cellStyle name="Comma 4 2" xfId="62"/>
    <cellStyle name="Comma 5" xfId="63"/>
    <cellStyle name="Comma 5 2" xfId="64"/>
    <cellStyle name="Ênfase1" xfId="65"/>
    <cellStyle name="Ênfase1 2" xfId="66"/>
    <cellStyle name="Ênfase2" xfId="67"/>
    <cellStyle name="Ênfase2 2" xfId="68"/>
    <cellStyle name="Ênfase3" xfId="69"/>
    <cellStyle name="Ênfase3 2" xfId="70"/>
    <cellStyle name="Ênfase4" xfId="71"/>
    <cellStyle name="Ênfase4 2" xfId="72"/>
    <cellStyle name="Ênfase5" xfId="73"/>
    <cellStyle name="Ênfase5 2" xfId="74"/>
    <cellStyle name="Ênfase6" xfId="75"/>
    <cellStyle name="Ênfase6 2" xfId="76"/>
    <cellStyle name="Entrada" xfId="77"/>
    <cellStyle name="Entrada 2" xfId="78"/>
    <cellStyle name="Hyperlink" xfId="79"/>
    <cellStyle name="Followed Hyperlink" xfId="80"/>
    <cellStyle name="Incorreto" xfId="81"/>
    <cellStyle name="Incorreto 2" xfId="82"/>
    <cellStyle name="Currency" xfId="83"/>
    <cellStyle name="Currency [0]" xfId="84"/>
    <cellStyle name="Moeda 2" xfId="85"/>
    <cellStyle name="Neutra" xfId="86"/>
    <cellStyle name="Neutra 2" xfId="87"/>
    <cellStyle name="Normal 10 4" xfId="88"/>
    <cellStyle name="Normal 2" xfId="89"/>
    <cellStyle name="Normal 3" xfId="90"/>
    <cellStyle name="Normal 3 3" xfId="91"/>
    <cellStyle name="Normal 61 2" xfId="92"/>
    <cellStyle name="Nota" xfId="93"/>
    <cellStyle name="Nota 2" xfId="94"/>
    <cellStyle name="Percent" xfId="95"/>
    <cellStyle name="Porcentagem 2" xfId="96"/>
    <cellStyle name="Saída" xfId="97"/>
    <cellStyle name="Saída 2" xfId="98"/>
    <cellStyle name="Comma [0]" xfId="99"/>
    <cellStyle name="Separador de milhares 2" xfId="100"/>
    <cellStyle name="Separador de milhares 2 2" xfId="101"/>
    <cellStyle name="Separador de milhares 3" xfId="102"/>
    <cellStyle name="Separador de milhares 3 2" xfId="103"/>
    <cellStyle name="Separador de milhares 3 3" xfId="104"/>
    <cellStyle name="Separador de milhares 4" xfId="105"/>
    <cellStyle name="Texto de Aviso" xfId="106"/>
    <cellStyle name="Texto de Aviso 2" xfId="107"/>
    <cellStyle name="Texto Explicativo" xfId="108"/>
    <cellStyle name="Texto Explicativo 2" xfId="109"/>
    <cellStyle name="Título" xfId="110"/>
    <cellStyle name="Título 1" xfId="111"/>
    <cellStyle name="Título 1 2" xfId="112"/>
    <cellStyle name="Título 2" xfId="113"/>
    <cellStyle name="Título 2 2" xfId="114"/>
    <cellStyle name="Título 3" xfId="115"/>
    <cellStyle name="Título 3 2" xfId="116"/>
    <cellStyle name="Título 4" xfId="117"/>
    <cellStyle name="Título 4 2" xfId="118"/>
    <cellStyle name="Título 5" xfId="119"/>
    <cellStyle name="Total" xfId="120"/>
    <cellStyle name="Total 2" xfId="121"/>
    <cellStyle name="Comma" xfId="122"/>
    <cellStyle name="Vírgula 2" xfId="123"/>
  </cellStyles>
  <dxfs count="102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114300</xdr:rowOff>
    </xdr:from>
    <xdr:to>
      <xdr:col>10</xdr:col>
      <xdr:colOff>190500</xdr:colOff>
      <xdr:row>0</xdr:row>
      <xdr:rowOff>609600</xdr:rowOff>
    </xdr:to>
    <xdr:pic>
      <xdr:nvPicPr>
        <xdr:cNvPr id="1" name="Imagem 4" descr="\\SHARECENTER\Projetos\PROJETOS\0 - BIBLIOTECA\logo-viavo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1430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28575</xdr:rowOff>
    </xdr:from>
    <xdr:to>
      <xdr:col>1</xdr:col>
      <xdr:colOff>400050</xdr:colOff>
      <xdr:row>0</xdr:row>
      <xdr:rowOff>752475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857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180975</xdr:rowOff>
    </xdr:from>
    <xdr:to>
      <xdr:col>1</xdr:col>
      <xdr:colOff>247650</xdr:colOff>
      <xdr:row>3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171450</xdr:rowOff>
    </xdr:from>
    <xdr:to>
      <xdr:col>9</xdr:col>
      <xdr:colOff>361950</xdr:colOff>
      <xdr:row>1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17145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66675</xdr:rowOff>
    </xdr:from>
    <xdr:to>
      <xdr:col>1</xdr:col>
      <xdr:colOff>161925</xdr:colOff>
      <xdr:row>4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33375"/>
          <a:ext cx="923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1</xdr:row>
      <xdr:rowOff>180975</xdr:rowOff>
    </xdr:from>
    <xdr:to>
      <xdr:col>7</xdr:col>
      <xdr:colOff>228600</xdr:colOff>
      <xdr:row>3</xdr:row>
      <xdr:rowOff>171450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4767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0</xdr:rowOff>
    </xdr:from>
    <xdr:to>
      <xdr:col>3</xdr:col>
      <xdr:colOff>571500</xdr:colOff>
      <xdr:row>3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0"/>
          <a:ext cx="771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666750</xdr:colOff>
      <xdr:row>0</xdr:row>
      <xdr:rowOff>85725</xdr:rowOff>
    </xdr:from>
    <xdr:to>
      <xdr:col>13</xdr:col>
      <xdr:colOff>323850</xdr:colOff>
      <xdr:row>2</xdr:row>
      <xdr:rowOff>47625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85725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428625</xdr:colOff>
      <xdr:row>4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23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314325</xdr:colOff>
      <xdr:row>2</xdr:row>
      <xdr:rowOff>66675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76200</xdr:rowOff>
    </xdr:from>
    <xdr:to>
      <xdr:col>16</xdr:col>
      <xdr:colOff>19050</xdr:colOff>
      <xdr:row>2</xdr:row>
      <xdr:rowOff>171450</xdr:rowOff>
    </xdr:to>
    <xdr:pic>
      <xdr:nvPicPr>
        <xdr:cNvPr id="1" name="Imagem 4" descr="\\SHARECENTER\Projetos\PROJETOS\0 - BIBLIOTECA\logo-viavo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7620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95250</xdr:rowOff>
    </xdr:from>
    <xdr:to>
      <xdr:col>1</xdr:col>
      <xdr:colOff>428625</xdr:colOff>
      <xdr:row>4</xdr:row>
      <xdr:rowOff>95250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5250"/>
          <a:ext cx="723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314325</xdr:colOff>
      <xdr:row>2</xdr:row>
      <xdr:rowOff>66675</xdr:rowOff>
    </xdr:to>
    <xdr:pic>
      <xdr:nvPicPr>
        <xdr:cNvPr id="3" name="Imagem 4" descr="\\SHARECENTER\Projetos\PROJETOS\0 - BIBLIOTECA\logo-viavo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0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457200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8</xdr:col>
      <xdr:colOff>285750</xdr:colOff>
      <xdr:row>2</xdr:row>
      <xdr:rowOff>95250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95250</xdr:rowOff>
    </xdr:from>
    <xdr:to>
      <xdr:col>1</xdr:col>
      <xdr:colOff>400050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723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0</xdr:row>
      <xdr:rowOff>0</xdr:rowOff>
    </xdr:from>
    <xdr:to>
      <xdr:col>8</xdr:col>
      <xdr:colOff>714375</xdr:colOff>
      <xdr:row>2</xdr:row>
      <xdr:rowOff>133350</xdr:rowOff>
    </xdr:to>
    <xdr:pic>
      <xdr:nvPicPr>
        <xdr:cNvPr id="2" name="Imagem 4" descr="\\SHARECENTER\Projetos\PROJETOS\0 - BIBLIOTECA\logo-viavoz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0"/>
          <a:ext cx="1390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4.18\rede\DPRC\GCEG\Meus%20Documentos\Orcamentistas\Wellerson\Wellerson%202014\AA%20-%20Conclus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lusão de planin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P171"/>
  <sheetViews>
    <sheetView showGridLines="0" tabSelected="1" zoomScale="70" zoomScaleNormal="70" workbookViewId="0" topLeftCell="A50">
      <selection activeCell="D62" sqref="D62"/>
    </sheetView>
  </sheetViews>
  <sheetFormatPr defaultColWidth="9.00390625" defaultRowHeight="14.25"/>
  <cols>
    <col min="1" max="1" width="10.875" style="26" bestFit="1" customWidth="1"/>
    <col min="2" max="2" width="10.125" style="166" customWidth="1"/>
    <col min="3" max="3" width="9.625" style="26" customWidth="1"/>
    <col min="4" max="4" width="40.00390625" style="26" customWidth="1"/>
    <col min="5" max="5" width="8.75390625" style="26" bestFit="1" customWidth="1"/>
    <col min="6" max="6" width="11.375" style="141" customWidth="1"/>
    <col min="7" max="8" width="11.375" style="154" customWidth="1"/>
    <col min="9" max="9" width="13.625" style="155" customWidth="1"/>
    <col min="10" max="10" width="13.125" style="154" customWidth="1"/>
    <col min="11" max="11" width="13.125" style="311" customWidth="1"/>
    <col min="12" max="12" width="4.875" style="2" customWidth="1"/>
    <col min="13" max="13" width="12.75390625" style="156" hidden="1" customWidth="1"/>
    <col min="14" max="14" width="11.375" style="2" bestFit="1" customWidth="1"/>
    <col min="15" max="15" width="27.50390625" style="2" customWidth="1"/>
    <col min="16" max="16384" width="9.00390625" style="2" customWidth="1"/>
  </cols>
  <sheetData>
    <row r="1" spans="1:15" s="135" customFormat="1" ht="64.5" customHeight="1" thickBot="1">
      <c r="A1" s="540" t="s">
        <v>204</v>
      </c>
      <c r="B1" s="541"/>
      <c r="C1" s="541"/>
      <c r="D1" s="541"/>
      <c r="E1" s="541"/>
      <c r="F1" s="541"/>
      <c r="G1" s="541"/>
      <c r="H1" s="541"/>
      <c r="I1" s="541"/>
      <c r="J1" s="541"/>
      <c r="K1" s="542"/>
      <c r="M1" s="299"/>
      <c r="N1" s="441"/>
      <c r="O1" s="441"/>
    </row>
    <row r="2" spans="1:15" s="135" customFormat="1" ht="14.25">
      <c r="A2" s="543" t="s">
        <v>450</v>
      </c>
      <c r="B2" s="544"/>
      <c r="C2" s="544"/>
      <c r="D2" s="544"/>
      <c r="E2" s="27"/>
      <c r="F2" s="28"/>
      <c r="G2" s="545" t="s">
        <v>237</v>
      </c>
      <c r="H2" s="545"/>
      <c r="I2" s="545"/>
      <c r="J2" s="545"/>
      <c r="K2" s="546"/>
      <c r="M2" s="299"/>
      <c r="N2" s="441"/>
      <c r="O2" s="441"/>
    </row>
    <row r="3" spans="1:15" s="135" customFormat="1" ht="39.75" customHeight="1">
      <c r="A3" s="547" t="s">
        <v>257</v>
      </c>
      <c r="B3" s="548"/>
      <c r="C3" s="548"/>
      <c r="D3" s="548"/>
      <c r="E3" s="548"/>
      <c r="F3" s="29"/>
      <c r="G3" s="549" t="s">
        <v>637</v>
      </c>
      <c r="H3" s="549"/>
      <c r="I3" s="549"/>
      <c r="J3" s="549"/>
      <c r="K3" s="550"/>
      <c r="M3" s="299"/>
      <c r="N3" s="441"/>
      <c r="O3" s="441"/>
    </row>
    <row r="4" spans="1:15" s="135" customFormat="1" ht="15" thickBot="1">
      <c r="A4" s="30"/>
      <c r="B4" s="167"/>
      <c r="C4" s="31"/>
      <c r="D4" s="31"/>
      <c r="E4" s="31"/>
      <c r="F4" s="32"/>
      <c r="G4" s="536" t="s">
        <v>236</v>
      </c>
      <c r="H4" s="536"/>
      <c r="I4" s="536"/>
      <c r="J4" s="536"/>
      <c r="K4" s="537"/>
      <c r="M4" s="299">
        <v>0.309</v>
      </c>
      <c r="N4" s="441"/>
      <c r="O4" s="441"/>
    </row>
    <row r="5" spans="1:15" s="135" customFormat="1" ht="20.25" customHeight="1" thickBot="1">
      <c r="A5" s="538" t="s">
        <v>227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M5" s="299">
        <v>1.309</v>
      </c>
      <c r="N5" s="441"/>
      <c r="O5" s="441"/>
    </row>
    <row r="6" spans="1:15" s="135" customFormat="1" ht="38.25">
      <c r="A6" s="176" t="s">
        <v>228</v>
      </c>
      <c r="B6" s="177" t="s">
        <v>81</v>
      </c>
      <c r="C6" s="178" t="s">
        <v>0</v>
      </c>
      <c r="D6" s="179" t="s">
        <v>229</v>
      </c>
      <c r="E6" s="180" t="s">
        <v>230</v>
      </c>
      <c r="F6" s="181" t="s">
        <v>1</v>
      </c>
      <c r="G6" s="182" t="s">
        <v>231</v>
      </c>
      <c r="H6" s="182" t="s">
        <v>323</v>
      </c>
      <c r="I6" s="142" t="s">
        <v>232</v>
      </c>
      <c r="J6" s="142" t="s">
        <v>233</v>
      </c>
      <c r="K6" s="304" t="s">
        <v>234</v>
      </c>
      <c r="M6" s="299"/>
      <c r="N6" s="441"/>
      <c r="O6" s="441"/>
    </row>
    <row r="7" spans="1:14" ht="21" customHeight="1">
      <c r="A7" s="3"/>
      <c r="B7" s="168"/>
      <c r="C7" s="4" t="s">
        <v>39</v>
      </c>
      <c r="D7" s="5" t="s">
        <v>79</v>
      </c>
      <c r="E7" s="136"/>
      <c r="F7" s="137"/>
      <c r="G7" s="143"/>
      <c r="H7" s="143"/>
      <c r="I7" s="144"/>
      <c r="J7" s="145"/>
      <c r="K7" s="305"/>
      <c r="N7" s="442"/>
    </row>
    <row r="8" spans="1:14" ht="21" customHeight="1" thickBot="1">
      <c r="A8" s="6"/>
      <c r="B8" s="169" t="s">
        <v>546</v>
      </c>
      <c r="C8" s="406" t="s">
        <v>2</v>
      </c>
      <c r="D8" s="8" t="s">
        <v>642</v>
      </c>
      <c r="E8" s="407" t="s">
        <v>622</v>
      </c>
      <c r="F8" s="408">
        <v>1</v>
      </c>
      <c r="G8" s="146">
        <f>'ADM LOCAL'!I15</f>
        <v>49518.01</v>
      </c>
      <c r="H8" s="146">
        <f>G8*$M$4</f>
        <v>15301.07</v>
      </c>
      <c r="I8" s="144">
        <f>G8+H8</f>
        <v>64819.08</v>
      </c>
      <c r="J8" s="147">
        <f>I8*F8</f>
        <v>64819.08</v>
      </c>
      <c r="K8" s="306">
        <f>J8/$J$169</f>
        <v>0.1138555</v>
      </c>
      <c r="M8" s="157"/>
      <c r="N8" s="442"/>
    </row>
    <row r="9" spans="1:14" ht="21" customHeight="1" thickBot="1">
      <c r="A9" s="123"/>
      <c r="B9" s="171"/>
      <c r="C9" s="124"/>
      <c r="D9" s="125" t="s">
        <v>84</v>
      </c>
      <c r="E9" s="126"/>
      <c r="F9" s="140"/>
      <c r="G9" s="150"/>
      <c r="H9" s="150"/>
      <c r="I9" s="150"/>
      <c r="J9" s="151">
        <f>J8</f>
        <v>64819.08</v>
      </c>
      <c r="K9" s="307">
        <f>J9/$J$169</f>
        <v>0.1138555</v>
      </c>
      <c r="N9" s="443"/>
    </row>
    <row r="10" spans="1:14" ht="21" customHeight="1">
      <c r="A10" s="3"/>
      <c r="B10" s="168"/>
      <c r="C10" s="4" t="s">
        <v>40</v>
      </c>
      <c r="D10" s="5" t="s">
        <v>33</v>
      </c>
      <c r="E10" s="136"/>
      <c r="F10" s="137"/>
      <c r="G10" s="143"/>
      <c r="H10" s="143"/>
      <c r="I10" s="144"/>
      <c r="J10" s="145"/>
      <c r="K10" s="305"/>
      <c r="N10" s="443"/>
    </row>
    <row r="11" spans="1:14" ht="34.5" customHeight="1" thickBot="1">
      <c r="A11" s="164" t="s">
        <v>83</v>
      </c>
      <c r="B11" s="170">
        <v>20305</v>
      </c>
      <c r="C11" s="159" t="s">
        <v>3</v>
      </c>
      <c r="D11" s="119" t="s">
        <v>82</v>
      </c>
      <c r="E11" s="160" t="s">
        <v>324</v>
      </c>
      <c r="F11" s="161">
        <f>'MEMÓRIA DE CÁLCULO'!J13</f>
        <v>8</v>
      </c>
      <c r="G11" s="162">
        <v>211.96</v>
      </c>
      <c r="H11" s="162">
        <f>G11*$M$4</f>
        <v>65.5</v>
      </c>
      <c r="I11" s="153">
        <f>G11+H11</f>
        <v>277.46</v>
      </c>
      <c r="J11" s="163">
        <f>I11*F11</f>
        <v>2219.68</v>
      </c>
      <c r="K11" s="306">
        <f>J11/$J$169</f>
        <v>0.0038989</v>
      </c>
      <c r="N11" s="443"/>
    </row>
    <row r="12" spans="1:14" ht="21" customHeight="1" thickBot="1">
      <c r="A12" s="123"/>
      <c r="B12" s="171"/>
      <c r="C12" s="124"/>
      <c r="D12" s="125" t="s">
        <v>86</v>
      </c>
      <c r="E12" s="126"/>
      <c r="F12" s="140"/>
      <c r="G12" s="150"/>
      <c r="H12" s="150"/>
      <c r="I12" s="150"/>
      <c r="J12" s="151">
        <f>J11</f>
        <v>2219.68</v>
      </c>
      <c r="K12" s="307">
        <f>J12/$J$169</f>
        <v>0.0038989</v>
      </c>
      <c r="N12" s="443"/>
    </row>
    <row r="13" spans="1:15" s="14" customFormat="1" ht="21" customHeight="1">
      <c r="A13" s="120"/>
      <c r="B13" s="172"/>
      <c r="C13" s="121" t="s">
        <v>41</v>
      </c>
      <c r="D13" s="5" t="s">
        <v>78</v>
      </c>
      <c r="E13" s="136"/>
      <c r="F13" s="137"/>
      <c r="G13" s="152"/>
      <c r="H13" s="152"/>
      <c r="I13" s="152"/>
      <c r="J13" s="152"/>
      <c r="K13" s="308"/>
      <c r="M13" s="156"/>
      <c r="N13" s="2"/>
      <c r="O13" s="2"/>
    </row>
    <row r="14" spans="1:15" s="14" customFormat="1" ht="21" customHeight="1">
      <c r="A14" s="15" t="s">
        <v>83</v>
      </c>
      <c r="B14" s="173">
        <v>10209</v>
      </c>
      <c r="C14" s="16" t="s">
        <v>4</v>
      </c>
      <c r="D14" s="8" t="s">
        <v>87</v>
      </c>
      <c r="E14" s="17" t="s">
        <v>325</v>
      </c>
      <c r="F14" s="17">
        <f>'MEMÓRIA DE CÁLCULO'!J18</f>
        <v>26.56</v>
      </c>
      <c r="G14" s="146">
        <v>36.74</v>
      </c>
      <c r="H14" s="146">
        <f aca="true" t="shared" si="0" ref="H14:H21">G14*$M$4</f>
        <v>11.35</v>
      </c>
      <c r="I14" s="144">
        <f aca="true" t="shared" si="1" ref="I14:I21">G14+H14</f>
        <v>48.09</v>
      </c>
      <c r="J14" s="147">
        <f aca="true" t="shared" si="2" ref="J14:J21">I14*F14</f>
        <v>1277.27</v>
      </c>
      <c r="K14" s="306">
        <f aca="true" t="shared" si="3" ref="K14:K21">J14/$J$169</f>
        <v>0.0022435</v>
      </c>
      <c r="M14" s="156"/>
      <c r="N14" s="2"/>
      <c r="O14" s="2"/>
    </row>
    <row r="15" spans="1:15" s="14" customFormat="1" ht="21" customHeight="1">
      <c r="A15" s="463" t="s">
        <v>83</v>
      </c>
      <c r="B15" s="464">
        <v>10202</v>
      </c>
      <c r="C15" s="465" t="s">
        <v>5</v>
      </c>
      <c r="D15" s="466" t="s">
        <v>599</v>
      </c>
      <c r="E15" s="467" t="s">
        <v>324</v>
      </c>
      <c r="F15" s="467">
        <f>'MEMÓRIA DE CÁLCULO'!J35</f>
        <v>181.31</v>
      </c>
      <c r="G15" s="468">
        <v>8.57</v>
      </c>
      <c r="H15" s="468">
        <f>G15*$M$4</f>
        <v>2.65</v>
      </c>
      <c r="I15" s="469">
        <f>G15+H15</f>
        <v>11.22</v>
      </c>
      <c r="J15" s="470">
        <f>I15*F15</f>
        <v>2034.3</v>
      </c>
      <c r="K15" s="471">
        <f t="shared" si="3"/>
        <v>0.0035733</v>
      </c>
      <c r="M15" s="156"/>
      <c r="N15" s="2"/>
      <c r="O15" s="2"/>
    </row>
    <row r="16" spans="1:15" s="14" customFormat="1" ht="21" customHeight="1">
      <c r="A16" s="15" t="s">
        <v>83</v>
      </c>
      <c r="B16" s="173">
        <v>10326</v>
      </c>
      <c r="C16" s="16" t="s">
        <v>38</v>
      </c>
      <c r="D16" s="8" t="s">
        <v>88</v>
      </c>
      <c r="E16" s="17" t="s">
        <v>324</v>
      </c>
      <c r="F16" s="17">
        <f>'MEMÓRIA DE CÁLCULO'!J48</f>
        <v>136.6</v>
      </c>
      <c r="G16" s="146">
        <v>18</v>
      </c>
      <c r="H16" s="146">
        <f t="shared" si="0"/>
        <v>5.56</v>
      </c>
      <c r="I16" s="144">
        <f t="shared" si="1"/>
        <v>23.56</v>
      </c>
      <c r="J16" s="147">
        <f t="shared" si="2"/>
        <v>3218.3</v>
      </c>
      <c r="K16" s="306">
        <f t="shared" si="3"/>
        <v>0.005653</v>
      </c>
      <c r="M16" s="156"/>
      <c r="N16" s="2"/>
      <c r="O16" s="2"/>
    </row>
    <row r="17" spans="1:15" s="14" customFormat="1" ht="27.75" customHeight="1">
      <c r="A17" s="15" t="s">
        <v>83</v>
      </c>
      <c r="B17" s="173">
        <v>10256</v>
      </c>
      <c r="C17" s="16" t="s">
        <v>42</v>
      </c>
      <c r="D17" s="8" t="s">
        <v>89</v>
      </c>
      <c r="E17" s="17" t="s">
        <v>324</v>
      </c>
      <c r="F17" s="17">
        <f>'MEMÓRIA DE CÁLCULO'!J56</f>
        <v>136.6</v>
      </c>
      <c r="G17" s="146">
        <v>4.69</v>
      </c>
      <c r="H17" s="146">
        <f t="shared" si="0"/>
        <v>1.45</v>
      </c>
      <c r="I17" s="144">
        <f t="shared" si="1"/>
        <v>6.14</v>
      </c>
      <c r="J17" s="147">
        <f t="shared" si="2"/>
        <v>838.72</v>
      </c>
      <c r="K17" s="306">
        <f t="shared" si="3"/>
        <v>0.0014732</v>
      </c>
      <c r="M17" s="156"/>
      <c r="N17" s="2"/>
      <c r="O17" s="2"/>
    </row>
    <row r="18" spans="1:15" s="14" customFormat="1" ht="35.25" customHeight="1">
      <c r="A18" s="15" t="s">
        <v>83</v>
      </c>
      <c r="B18" s="173">
        <v>10214</v>
      </c>
      <c r="C18" s="16" t="s">
        <v>43</v>
      </c>
      <c r="D18" s="8" t="s">
        <v>104</v>
      </c>
      <c r="E18" s="17" t="s">
        <v>324</v>
      </c>
      <c r="F18" s="17">
        <f>'MEMÓRIA DE CÁLCULO'!J64</f>
        <v>8.61</v>
      </c>
      <c r="G18" s="146">
        <v>9.8</v>
      </c>
      <c r="H18" s="146">
        <f t="shared" si="0"/>
        <v>3.03</v>
      </c>
      <c r="I18" s="144">
        <f t="shared" si="1"/>
        <v>12.83</v>
      </c>
      <c r="J18" s="147">
        <f t="shared" si="2"/>
        <v>110.47</v>
      </c>
      <c r="K18" s="306">
        <f t="shared" si="3"/>
        <v>0.000194</v>
      </c>
      <c r="M18" s="300"/>
      <c r="N18" s="2"/>
      <c r="O18" s="2"/>
    </row>
    <row r="19" spans="1:15" s="14" customFormat="1" ht="21" customHeight="1">
      <c r="A19" s="15" t="s">
        <v>83</v>
      </c>
      <c r="B19" s="173">
        <v>10215</v>
      </c>
      <c r="C19" s="16" t="s">
        <v>44</v>
      </c>
      <c r="D19" s="8" t="s">
        <v>459</v>
      </c>
      <c r="E19" s="17" t="s">
        <v>324</v>
      </c>
      <c r="F19" s="17">
        <f>'MEMÓRIA DE CÁLCULO'!J74</f>
        <v>0.8</v>
      </c>
      <c r="G19" s="146">
        <v>6.13</v>
      </c>
      <c r="H19" s="146">
        <f t="shared" si="0"/>
        <v>1.89</v>
      </c>
      <c r="I19" s="144">
        <f t="shared" si="1"/>
        <v>8.02</v>
      </c>
      <c r="J19" s="147">
        <f t="shared" si="2"/>
        <v>6.42</v>
      </c>
      <c r="K19" s="306">
        <f t="shared" si="3"/>
        <v>1.13E-05</v>
      </c>
      <c r="M19" s="300"/>
      <c r="N19" s="2"/>
      <c r="O19" s="2"/>
    </row>
    <row r="20" spans="1:15" s="14" customFormat="1" ht="21" customHeight="1">
      <c r="A20" s="15" t="s">
        <v>83</v>
      </c>
      <c r="B20" s="173">
        <v>10318</v>
      </c>
      <c r="C20" s="16" t="s">
        <v>45</v>
      </c>
      <c r="D20" s="8" t="s">
        <v>636</v>
      </c>
      <c r="E20" s="17" t="s">
        <v>324</v>
      </c>
      <c r="F20" s="17">
        <v>40.47</v>
      </c>
      <c r="G20" s="146">
        <v>8.67</v>
      </c>
      <c r="H20" s="146">
        <f>G20*$M$4</f>
        <v>2.68</v>
      </c>
      <c r="I20" s="144">
        <f>G20+H20</f>
        <v>11.35</v>
      </c>
      <c r="J20" s="147">
        <f>I20*F20</f>
        <v>459.33</v>
      </c>
      <c r="K20" s="306">
        <f t="shared" si="3"/>
        <v>0.0008068</v>
      </c>
      <c r="M20" s="156"/>
      <c r="N20" s="2"/>
      <c r="O20" s="2"/>
    </row>
    <row r="21" spans="1:15" s="14" customFormat="1" ht="64.5" thickBot="1">
      <c r="A21" s="15" t="s">
        <v>83</v>
      </c>
      <c r="B21" s="173">
        <v>30304</v>
      </c>
      <c r="C21" s="16" t="s">
        <v>713</v>
      </c>
      <c r="D21" s="8" t="s">
        <v>90</v>
      </c>
      <c r="E21" s="17" t="s">
        <v>325</v>
      </c>
      <c r="F21" s="17">
        <f>'MEMÓRIA DE CÁLCULO'!J84</f>
        <v>26.56</v>
      </c>
      <c r="G21" s="146">
        <v>45.59</v>
      </c>
      <c r="H21" s="146">
        <f t="shared" si="0"/>
        <v>14.09</v>
      </c>
      <c r="I21" s="144">
        <f t="shared" si="1"/>
        <v>59.68</v>
      </c>
      <c r="J21" s="147">
        <f t="shared" si="2"/>
        <v>1585.1</v>
      </c>
      <c r="K21" s="306">
        <f t="shared" si="3"/>
        <v>0.0027842</v>
      </c>
      <c r="M21" s="300"/>
      <c r="N21" s="2"/>
      <c r="O21" s="2"/>
    </row>
    <row r="22" spans="1:14" ht="21" customHeight="1" thickBot="1">
      <c r="A22" s="123"/>
      <c r="B22" s="171"/>
      <c r="C22" s="124"/>
      <c r="D22" s="125" t="s">
        <v>91</v>
      </c>
      <c r="E22" s="126"/>
      <c r="F22" s="140"/>
      <c r="G22" s="150"/>
      <c r="H22" s="150"/>
      <c r="I22" s="150"/>
      <c r="J22" s="151">
        <f>SUM(J14:J21)</f>
        <v>9529.91</v>
      </c>
      <c r="K22" s="307">
        <f>J22/$J$169</f>
        <v>0.0167394</v>
      </c>
      <c r="N22" s="443"/>
    </row>
    <row r="23" spans="1:15" s="14" customFormat="1" ht="21" customHeight="1">
      <c r="A23" s="10"/>
      <c r="B23" s="174"/>
      <c r="C23" s="11" t="s">
        <v>46</v>
      </c>
      <c r="D23" s="12" t="s">
        <v>96</v>
      </c>
      <c r="E23" s="17"/>
      <c r="F23" s="17"/>
      <c r="G23" s="148"/>
      <c r="H23" s="148"/>
      <c r="I23" s="148"/>
      <c r="J23" s="148"/>
      <c r="K23" s="309"/>
      <c r="M23" s="156"/>
      <c r="N23" s="2"/>
      <c r="O23" s="2"/>
    </row>
    <row r="24" spans="1:15" s="14" customFormat="1" ht="38.25">
      <c r="A24" s="10"/>
      <c r="B24" s="173" t="s">
        <v>540</v>
      </c>
      <c r="C24" s="16" t="s">
        <v>6</v>
      </c>
      <c r="D24" s="8" t="s">
        <v>625</v>
      </c>
      <c r="E24" s="17" t="s">
        <v>23</v>
      </c>
      <c r="F24" s="17">
        <f>'MEMÓRIA DE CÁLCULO'!J102</f>
        <v>21</v>
      </c>
      <c r="G24" s="148">
        <v>49.16</v>
      </c>
      <c r="H24" s="146">
        <f>G24*$M$4</f>
        <v>15.19</v>
      </c>
      <c r="I24" s="144">
        <f>G24+H24</f>
        <v>64.35</v>
      </c>
      <c r="J24" s="147">
        <f>I24*F24</f>
        <v>1351.35</v>
      </c>
      <c r="K24" s="306">
        <f aca="true" t="shared" si="4" ref="K24:K31">J24/$J$169</f>
        <v>0.0023737</v>
      </c>
      <c r="M24" s="156"/>
      <c r="N24" s="2"/>
      <c r="O24" s="2"/>
    </row>
    <row r="25" spans="1:15" s="14" customFormat="1" ht="25.5">
      <c r="A25" s="15" t="s">
        <v>83</v>
      </c>
      <c r="B25" s="173">
        <v>30101</v>
      </c>
      <c r="C25" s="16" t="s">
        <v>7</v>
      </c>
      <c r="D25" s="8" t="s">
        <v>473</v>
      </c>
      <c r="E25" s="17" t="s">
        <v>325</v>
      </c>
      <c r="F25" s="17">
        <f>'MEMÓRIA DE CÁLCULO'!J108</f>
        <v>3.77</v>
      </c>
      <c r="G25" s="144">
        <v>35.04</v>
      </c>
      <c r="H25" s="146">
        <f>G25*$M$4</f>
        <v>10.83</v>
      </c>
      <c r="I25" s="144">
        <f>G25+H25</f>
        <v>45.87</v>
      </c>
      <c r="J25" s="147">
        <f>I25*F25</f>
        <v>172.93</v>
      </c>
      <c r="K25" s="306">
        <f t="shared" si="4"/>
        <v>0.0003038</v>
      </c>
      <c r="M25" s="156"/>
      <c r="N25" s="2"/>
      <c r="O25" s="2"/>
    </row>
    <row r="26" spans="1:15" s="14" customFormat="1" ht="51">
      <c r="A26" s="15" t="s">
        <v>83</v>
      </c>
      <c r="B26" s="173">
        <v>40238</v>
      </c>
      <c r="C26" s="16" t="s">
        <v>30</v>
      </c>
      <c r="D26" s="8" t="s">
        <v>93</v>
      </c>
      <c r="E26" s="17" t="s">
        <v>324</v>
      </c>
      <c r="F26" s="17">
        <f>'MEMÓRIA DE CÁLCULO'!J114</f>
        <v>100.46</v>
      </c>
      <c r="G26" s="146">
        <v>62.71</v>
      </c>
      <c r="H26" s="146">
        <f aca="true" t="shared" si="5" ref="H26:H31">G26*$M$4</f>
        <v>19.38</v>
      </c>
      <c r="I26" s="144">
        <f aca="true" t="shared" si="6" ref="I26:I31">G26+H26</f>
        <v>82.09</v>
      </c>
      <c r="J26" s="147">
        <f aca="true" t="shared" si="7" ref="J26:J31">I26*F26</f>
        <v>8246.76</v>
      </c>
      <c r="K26" s="306">
        <f t="shared" si="4"/>
        <v>0.0144855</v>
      </c>
      <c r="M26" s="300"/>
      <c r="N26" s="2"/>
      <c r="O26" s="2"/>
    </row>
    <row r="27" spans="1:15" s="14" customFormat="1" ht="51">
      <c r="A27" s="15" t="s">
        <v>83</v>
      </c>
      <c r="B27" s="173">
        <v>40240</v>
      </c>
      <c r="C27" s="16" t="s">
        <v>8</v>
      </c>
      <c r="D27" s="8" t="s">
        <v>186</v>
      </c>
      <c r="E27" s="17" t="s">
        <v>325</v>
      </c>
      <c r="F27" s="17">
        <f>'MEMÓRIA DE CÁLCULO'!J121</f>
        <v>4.69</v>
      </c>
      <c r="G27" s="146">
        <v>342.06</v>
      </c>
      <c r="H27" s="146">
        <f t="shared" si="5"/>
        <v>105.7</v>
      </c>
      <c r="I27" s="144">
        <f t="shared" si="6"/>
        <v>447.76</v>
      </c>
      <c r="J27" s="147">
        <f t="shared" si="7"/>
        <v>2099.99</v>
      </c>
      <c r="K27" s="306">
        <f t="shared" si="4"/>
        <v>0.0036887</v>
      </c>
      <c r="M27" s="300"/>
      <c r="N27" s="2"/>
      <c r="O27" s="2"/>
    </row>
    <row r="28" spans="1:15" s="14" customFormat="1" ht="51">
      <c r="A28" s="15" t="s">
        <v>83</v>
      </c>
      <c r="B28" s="173">
        <v>40239</v>
      </c>
      <c r="C28" s="16" t="s">
        <v>47</v>
      </c>
      <c r="D28" s="8" t="s">
        <v>448</v>
      </c>
      <c r="E28" s="17" t="s">
        <v>325</v>
      </c>
      <c r="F28" s="17">
        <f>'MEMÓRIA DE CÁLCULO'!J128</f>
        <v>1.78</v>
      </c>
      <c r="G28" s="146">
        <v>334.71</v>
      </c>
      <c r="H28" s="146">
        <f t="shared" si="5"/>
        <v>103.43</v>
      </c>
      <c r="I28" s="144">
        <f t="shared" si="6"/>
        <v>438.14</v>
      </c>
      <c r="J28" s="147">
        <f t="shared" si="7"/>
        <v>779.89</v>
      </c>
      <c r="K28" s="306">
        <f t="shared" si="4"/>
        <v>0.0013699</v>
      </c>
      <c r="M28" s="300"/>
      <c r="N28" s="2"/>
      <c r="O28" s="398"/>
    </row>
    <row r="29" spans="1:15" s="14" customFormat="1" ht="38.25">
      <c r="A29" s="15" t="s">
        <v>83</v>
      </c>
      <c r="B29" s="173">
        <v>40328</v>
      </c>
      <c r="C29" s="16" t="s">
        <v>48</v>
      </c>
      <c r="D29" s="8" t="s">
        <v>94</v>
      </c>
      <c r="E29" s="17" t="s">
        <v>24</v>
      </c>
      <c r="F29" s="17">
        <f>'MEMÓRIA DE CÁLCULO'!J132</f>
        <v>306.88</v>
      </c>
      <c r="G29" s="146">
        <v>6.69</v>
      </c>
      <c r="H29" s="146">
        <f t="shared" si="5"/>
        <v>2.07</v>
      </c>
      <c r="I29" s="144">
        <f t="shared" si="6"/>
        <v>8.76</v>
      </c>
      <c r="J29" s="147">
        <f t="shared" si="7"/>
        <v>2688.27</v>
      </c>
      <c r="K29" s="306">
        <f t="shared" si="4"/>
        <v>0.004722</v>
      </c>
      <c r="M29" s="300"/>
      <c r="N29" s="2"/>
      <c r="O29" s="2"/>
    </row>
    <row r="30" spans="1:15" s="14" customFormat="1" ht="25.5">
      <c r="A30" s="15" t="s">
        <v>83</v>
      </c>
      <c r="B30" s="173">
        <v>40333</v>
      </c>
      <c r="C30" s="16" t="s">
        <v>488</v>
      </c>
      <c r="D30" s="8" t="s">
        <v>95</v>
      </c>
      <c r="E30" s="17" t="s">
        <v>24</v>
      </c>
      <c r="F30" s="17">
        <f>'MEMÓRIA DE CÁLCULO'!J139</f>
        <v>106.4</v>
      </c>
      <c r="G30" s="146">
        <v>6.73</v>
      </c>
      <c r="H30" s="146">
        <f t="shared" si="5"/>
        <v>2.08</v>
      </c>
      <c r="I30" s="144">
        <f t="shared" si="6"/>
        <v>8.81</v>
      </c>
      <c r="J30" s="147">
        <f t="shared" si="7"/>
        <v>937.38</v>
      </c>
      <c r="K30" s="306">
        <f t="shared" si="4"/>
        <v>0.0016465</v>
      </c>
      <c r="M30" s="300"/>
      <c r="N30" s="2"/>
      <c r="O30" s="2"/>
    </row>
    <row r="31" spans="1:15" s="14" customFormat="1" ht="26.25" thickBot="1">
      <c r="A31" s="15" t="s">
        <v>83</v>
      </c>
      <c r="B31" s="173">
        <v>40810</v>
      </c>
      <c r="C31" s="16" t="s">
        <v>489</v>
      </c>
      <c r="D31" s="8" t="s">
        <v>105</v>
      </c>
      <c r="E31" s="17" t="s">
        <v>325</v>
      </c>
      <c r="F31" s="17">
        <f>'MEMÓRIA DE CÁLCULO'!J146</f>
        <v>0.12</v>
      </c>
      <c r="G31" s="146">
        <v>5818.55</v>
      </c>
      <c r="H31" s="146">
        <f t="shared" si="5"/>
        <v>1797.93</v>
      </c>
      <c r="I31" s="144">
        <f t="shared" si="6"/>
        <v>7616.48</v>
      </c>
      <c r="J31" s="147">
        <f t="shared" si="7"/>
        <v>913.98</v>
      </c>
      <c r="K31" s="306">
        <f t="shared" si="4"/>
        <v>0.0016054</v>
      </c>
      <c r="M31" s="300"/>
      <c r="N31" s="2"/>
      <c r="O31" s="2"/>
    </row>
    <row r="32" spans="1:14" ht="21" customHeight="1" thickBot="1">
      <c r="A32" s="123"/>
      <c r="B32" s="171"/>
      <c r="C32" s="124"/>
      <c r="D32" s="125" t="s">
        <v>92</v>
      </c>
      <c r="E32" s="126"/>
      <c r="F32" s="140"/>
      <c r="G32" s="150"/>
      <c r="H32" s="150"/>
      <c r="I32" s="150"/>
      <c r="J32" s="151">
        <f>SUM(J24:J31)</f>
        <v>17190.55</v>
      </c>
      <c r="K32" s="307">
        <f>J32/$J$169</f>
        <v>0.0301954</v>
      </c>
      <c r="N32" s="443"/>
    </row>
    <row r="33" spans="1:15" s="14" customFormat="1" ht="21" customHeight="1">
      <c r="A33" s="10"/>
      <c r="B33" s="174"/>
      <c r="C33" s="11" t="s">
        <v>49</v>
      </c>
      <c r="D33" s="12" t="s">
        <v>60</v>
      </c>
      <c r="E33" s="18"/>
      <c r="F33" s="18"/>
      <c r="G33" s="149"/>
      <c r="H33" s="149"/>
      <c r="I33" s="148"/>
      <c r="J33" s="149"/>
      <c r="K33" s="310"/>
      <c r="M33" s="156"/>
      <c r="N33" s="2"/>
      <c r="O33" s="2"/>
    </row>
    <row r="34" spans="1:15" s="14" customFormat="1" ht="38.25">
      <c r="A34" s="15"/>
      <c r="B34" s="173" t="s">
        <v>540</v>
      </c>
      <c r="C34" s="16" t="s">
        <v>9</v>
      </c>
      <c r="D34" s="8" t="s">
        <v>625</v>
      </c>
      <c r="E34" s="17" t="s">
        <v>23</v>
      </c>
      <c r="F34" s="17">
        <f>'MEMÓRIA DE CÁLCULO'!J151</f>
        <v>79</v>
      </c>
      <c r="G34" s="148">
        <v>49.16</v>
      </c>
      <c r="H34" s="146">
        <f aca="true" t="shared" si="8" ref="H34:H40">G34*$M$4</f>
        <v>15.19</v>
      </c>
      <c r="I34" s="144">
        <f aca="true" t="shared" si="9" ref="I34:I40">G34+H34</f>
        <v>64.35</v>
      </c>
      <c r="J34" s="147">
        <f aca="true" t="shared" si="10" ref="J34:J40">I34*F34</f>
        <v>5083.65</v>
      </c>
      <c r="K34" s="306">
        <f aca="true" t="shared" si="11" ref="K34:K40">J34/$J$169</f>
        <v>0.0089295</v>
      </c>
      <c r="M34" s="156"/>
      <c r="N34" s="2"/>
      <c r="O34" s="2"/>
    </row>
    <row r="35" spans="1:15" s="14" customFormat="1" ht="25.5">
      <c r="A35" s="15" t="s">
        <v>83</v>
      </c>
      <c r="B35" s="173">
        <v>30101</v>
      </c>
      <c r="C35" s="16" t="s">
        <v>50</v>
      </c>
      <c r="D35" s="8" t="s">
        <v>473</v>
      </c>
      <c r="E35" s="17" t="s">
        <v>325</v>
      </c>
      <c r="F35" s="17">
        <f>'MEMÓRIA DE CÁLCULO'!J159</f>
        <v>6.69</v>
      </c>
      <c r="G35" s="144">
        <v>35.04</v>
      </c>
      <c r="H35" s="146">
        <f>G35*$M$4</f>
        <v>10.83</v>
      </c>
      <c r="I35" s="144">
        <f>G35+H35</f>
        <v>45.87</v>
      </c>
      <c r="J35" s="147">
        <f>I35*F35</f>
        <v>306.87</v>
      </c>
      <c r="K35" s="306">
        <f t="shared" si="11"/>
        <v>0.000539</v>
      </c>
      <c r="M35" s="156"/>
      <c r="N35" s="2"/>
      <c r="O35" s="2"/>
    </row>
    <row r="36" spans="1:15" s="14" customFormat="1" ht="51">
      <c r="A36" s="15" t="s">
        <v>83</v>
      </c>
      <c r="B36" s="173">
        <v>40238</v>
      </c>
      <c r="C36" s="16" t="s">
        <v>10</v>
      </c>
      <c r="D36" s="8" t="s">
        <v>93</v>
      </c>
      <c r="E36" s="17" t="s">
        <v>324</v>
      </c>
      <c r="F36" s="17">
        <f>'MEMÓRIA DE CÁLCULO'!J165</f>
        <v>50.6</v>
      </c>
      <c r="G36" s="146">
        <v>62.71</v>
      </c>
      <c r="H36" s="146">
        <f t="shared" si="8"/>
        <v>19.38</v>
      </c>
      <c r="I36" s="144">
        <f t="shared" si="9"/>
        <v>82.09</v>
      </c>
      <c r="J36" s="147">
        <f t="shared" si="10"/>
        <v>4153.75</v>
      </c>
      <c r="K36" s="306">
        <f t="shared" si="11"/>
        <v>0.0072961</v>
      </c>
      <c r="M36" s="300"/>
      <c r="N36" s="2"/>
      <c r="O36" s="2"/>
    </row>
    <row r="37" spans="1:15" s="14" customFormat="1" ht="51">
      <c r="A37" s="15" t="s">
        <v>83</v>
      </c>
      <c r="B37" s="173">
        <v>40239</v>
      </c>
      <c r="C37" s="16" t="s">
        <v>11</v>
      </c>
      <c r="D37" s="8" t="s">
        <v>448</v>
      </c>
      <c r="E37" s="17" t="s">
        <v>325</v>
      </c>
      <c r="F37" s="17">
        <f>'MEMÓRIA DE CÁLCULO'!J171</f>
        <v>2.71</v>
      </c>
      <c r="G37" s="146">
        <v>334.71</v>
      </c>
      <c r="H37" s="146">
        <f>G37*$M$4</f>
        <v>103.43</v>
      </c>
      <c r="I37" s="144">
        <f>G37+H37</f>
        <v>438.14</v>
      </c>
      <c r="J37" s="147">
        <f>I37*F37</f>
        <v>1187.36</v>
      </c>
      <c r="K37" s="306">
        <f t="shared" si="11"/>
        <v>0.0020856</v>
      </c>
      <c r="M37" s="300"/>
      <c r="N37" s="2"/>
      <c r="O37" s="2"/>
    </row>
    <row r="38" spans="1:15" s="14" customFormat="1" ht="51">
      <c r="A38" s="15" t="s">
        <v>83</v>
      </c>
      <c r="B38" s="173">
        <v>40240</v>
      </c>
      <c r="C38" s="16" t="s">
        <v>31</v>
      </c>
      <c r="D38" s="8" t="s">
        <v>186</v>
      </c>
      <c r="E38" s="17" t="s">
        <v>325</v>
      </c>
      <c r="F38" s="17">
        <f>'MEMÓRIA DE CÁLCULO'!J176</f>
        <v>1.94</v>
      </c>
      <c r="G38" s="146">
        <v>342.06</v>
      </c>
      <c r="H38" s="146">
        <f t="shared" si="8"/>
        <v>105.7</v>
      </c>
      <c r="I38" s="144">
        <f t="shared" si="9"/>
        <v>447.76</v>
      </c>
      <c r="J38" s="147">
        <f t="shared" si="10"/>
        <v>868.65</v>
      </c>
      <c r="K38" s="306">
        <f t="shared" si="11"/>
        <v>0.0015258</v>
      </c>
      <c r="M38" s="300"/>
      <c r="N38" s="2"/>
      <c r="O38" s="2"/>
    </row>
    <row r="39" spans="1:15" s="14" customFormat="1" ht="38.25">
      <c r="A39" s="15" t="s">
        <v>83</v>
      </c>
      <c r="B39" s="173">
        <v>40328</v>
      </c>
      <c r="C39" s="16" t="s">
        <v>51</v>
      </c>
      <c r="D39" s="8" t="s">
        <v>94</v>
      </c>
      <c r="E39" s="17" t="s">
        <v>24</v>
      </c>
      <c r="F39" s="17">
        <f>'MEMÓRIA DE CÁLCULO'!J182</f>
        <v>288.8</v>
      </c>
      <c r="G39" s="146">
        <v>6.69</v>
      </c>
      <c r="H39" s="146">
        <f t="shared" si="8"/>
        <v>2.07</v>
      </c>
      <c r="I39" s="144">
        <f t="shared" si="9"/>
        <v>8.76</v>
      </c>
      <c r="J39" s="147">
        <f t="shared" si="10"/>
        <v>2529.89</v>
      </c>
      <c r="K39" s="306">
        <f t="shared" si="11"/>
        <v>0.0044438</v>
      </c>
      <c r="M39" s="300"/>
      <c r="N39" s="2"/>
      <c r="O39" s="2"/>
    </row>
    <row r="40" spans="1:15" s="14" customFormat="1" ht="26.25" thickBot="1">
      <c r="A40" s="15" t="s">
        <v>83</v>
      </c>
      <c r="B40" s="173">
        <v>40333</v>
      </c>
      <c r="C40" s="16" t="s">
        <v>476</v>
      </c>
      <c r="D40" s="8" t="s">
        <v>95</v>
      </c>
      <c r="E40" s="17" t="s">
        <v>24</v>
      </c>
      <c r="F40" s="17">
        <f>'MEMÓRIA DE CÁLCULO'!J189</f>
        <v>25.8</v>
      </c>
      <c r="G40" s="146">
        <v>6.73</v>
      </c>
      <c r="H40" s="146">
        <f t="shared" si="8"/>
        <v>2.08</v>
      </c>
      <c r="I40" s="144">
        <f t="shared" si="9"/>
        <v>8.81</v>
      </c>
      <c r="J40" s="147">
        <f t="shared" si="10"/>
        <v>227.3</v>
      </c>
      <c r="K40" s="306">
        <f t="shared" si="11"/>
        <v>0.0003993</v>
      </c>
      <c r="M40" s="300"/>
      <c r="N40" s="2"/>
      <c r="O40" s="2"/>
    </row>
    <row r="41" spans="1:14" ht="21" customHeight="1" thickBot="1">
      <c r="A41" s="123"/>
      <c r="B41" s="171"/>
      <c r="C41" s="124"/>
      <c r="D41" s="125" t="s">
        <v>97</v>
      </c>
      <c r="E41" s="126"/>
      <c r="F41" s="140"/>
      <c r="G41" s="150"/>
      <c r="H41" s="150"/>
      <c r="I41" s="150"/>
      <c r="J41" s="151">
        <f>SUM(J34:J40)</f>
        <v>14357.47</v>
      </c>
      <c r="K41" s="307">
        <f>J41/$J$169</f>
        <v>0.0252191</v>
      </c>
      <c r="N41" s="443"/>
    </row>
    <row r="42" spans="1:15" s="14" customFormat="1" ht="21" customHeight="1">
      <c r="A42" s="10"/>
      <c r="B42" s="174"/>
      <c r="C42" s="11" t="s">
        <v>52</v>
      </c>
      <c r="D42" s="12" t="s">
        <v>25</v>
      </c>
      <c r="E42" s="17"/>
      <c r="F42" s="17"/>
      <c r="G42" s="148"/>
      <c r="H42" s="148"/>
      <c r="I42" s="148"/>
      <c r="J42" s="148"/>
      <c r="K42" s="309"/>
      <c r="M42" s="156"/>
      <c r="N42" s="2"/>
      <c r="O42" s="2"/>
    </row>
    <row r="43" spans="1:15" s="14" customFormat="1" ht="51">
      <c r="A43" s="15" t="s">
        <v>83</v>
      </c>
      <c r="B43" s="173">
        <v>40238</v>
      </c>
      <c r="C43" s="16" t="s">
        <v>12</v>
      </c>
      <c r="D43" s="8" t="s">
        <v>93</v>
      </c>
      <c r="E43" s="17" t="s">
        <v>324</v>
      </c>
      <c r="F43" s="17">
        <f>'MEMÓRIA DE CÁLCULO'!J196</f>
        <v>301.28</v>
      </c>
      <c r="G43" s="146">
        <v>62.71</v>
      </c>
      <c r="H43" s="146">
        <f aca="true" t="shared" si="12" ref="H43:H48">G43*$M$4</f>
        <v>19.38</v>
      </c>
      <c r="I43" s="144">
        <f aca="true" t="shared" si="13" ref="I43:I48">G43+H43</f>
        <v>82.09</v>
      </c>
      <c r="J43" s="147">
        <f aca="true" t="shared" si="14" ref="J43:J48">I43*F43</f>
        <v>24732.08</v>
      </c>
      <c r="K43" s="306">
        <f aca="true" t="shared" si="15" ref="K43:K48">J43/$J$169</f>
        <v>0.0434422</v>
      </c>
      <c r="M43" s="300"/>
      <c r="N43" s="444"/>
      <c r="O43" s="2"/>
    </row>
    <row r="44" spans="1:16" s="14" customFormat="1" ht="38.25">
      <c r="A44" s="463" t="s">
        <v>83</v>
      </c>
      <c r="B44" s="464">
        <v>40315</v>
      </c>
      <c r="C44" s="465" t="s">
        <v>32</v>
      </c>
      <c r="D44" s="466" t="s">
        <v>99</v>
      </c>
      <c r="E44" s="467" t="s">
        <v>325</v>
      </c>
      <c r="F44" s="467">
        <f>'MEMÓRIA DE CÁLCULO'!J209</f>
        <v>20.94</v>
      </c>
      <c r="G44" s="468">
        <v>507.47</v>
      </c>
      <c r="H44" s="468">
        <f t="shared" si="12"/>
        <v>156.81</v>
      </c>
      <c r="I44" s="469">
        <f t="shared" si="13"/>
        <v>664.28</v>
      </c>
      <c r="J44" s="470">
        <f t="shared" si="14"/>
        <v>13910.02</v>
      </c>
      <c r="K44" s="471">
        <f t="shared" si="15"/>
        <v>0.0244331</v>
      </c>
      <c r="M44" s="300"/>
      <c r="N44" s="444"/>
      <c r="O44" s="2"/>
      <c r="P44" s="19">
        <f>N43+70</f>
        <v>70</v>
      </c>
    </row>
    <row r="45" spans="1:16" s="14" customFormat="1" ht="38.25">
      <c r="A45" s="463" t="s">
        <v>83</v>
      </c>
      <c r="B45" s="464">
        <v>40324</v>
      </c>
      <c r="C45" s="465" t="s">
        <v>53</v>
      </c>
      <c r="D45" s="466" t="s">
        <v>253</v>
      </c>
      <c r="E45" s="467" t="s">
        <v>325</v>
      </c>
      <c r="F45" s="467">
        <f>'MEMÓRIA DE CÁLCULO'!J209</f>
        <v>20.94</v>
      </c>
      <c r="G45" s="468">
        <v>493.7</v>
      </c>
      <c r="H45" s="468">
        <f t="shared" si="12"/>
        <v>152.55</v>
      </c>
      <c r="I45" s="469">
        <f t="shared" si="13"/>
        <v>646.25</v>
      </c>
      <c r="J45" s="470">
        <f t="shared" si="14"/>
        <v>13532.48</v>
      </c>
      <c r="K45" s="471">
        <f t="shared" si="15"/>
        <v>0.02377</v>
      </c>
      <c r="M45" s="300"/>
      <c r="N45" s="444"/>
      <c r="O45" s="2"/>
      <c r="P45" s="19"/>
    </row>
    <row r="46" spans="1:15" s="14" customFormat="1" ht="38.25">
      <c r="A46" s="15" t="s">
        <v>83</v>
      </c>
      <c r="B46" s="173">
        <v>40328</v>
      </c>
      <c r="C46" s="16" t="s">
        <v>252</v>
      </c>
      <c r="D46" s="8" t="s">
        <v>94</v>
      </c>
      <c r="E46" s="17" t="s">
        <v>24</v>
      </c>
      <c r="F46" s="17">
        <f>'MEMÓRIA DE CÁLCULO'!J222</f>
        <v>1123.7</v>
      </c>
      <c r="G46" s="146">
        <v>6.69</v>
      </c>
      <c r="H46" s="146">
        <f t="shared" si="12"/>
        <v>2.07</v>
      </c>
      <c r="I46" s="144">
        <f t="shared" si="13"/>
        <v>8.76</v>
      </c>
      <c r="J46" s="147">
        <f t="shared" si="14"/>
        <v>9843.61</v>
      </c>
      <c r="K46" s="306">
        <f t="shared" si="15"/>
        <v>0.0172904</v>
      </c>
      <c r="M46" s="300"/>
      <c r="N46" s="2"/>
      <c r="O46" s="2"/>
    </row>
    <row r="47" spans="1:15" s="14" customFormat="1" ht="25.5">
      <c r="A47" s="15" t="s">
        <v>83</v>
      </c>
      <c r="B47" s="173">
        <v>40333</v>
      </c>
      <c r="C47" s="16" t="s">
        <v>54</v>
      </c>
      <c r="D47" s="8" t="s">
        <v>95</v>
      </c>
      <c r="E47" s="17" t="s">
        <v>24</v>
      </c>
      <c r="F47" s="17">
        <f>'MEMÓRIA DE CÁLCULO'!J235</f>
        <v>227.2</v>
      </c>
      <c r="G47" s="146">
        <v>6.73</v>
      </c>
      <c r="H47" s="146">
        <f t="shared" si="12"/>
        <v>2.08</v>
      </c>
      <c r="I47" s="144">
        <f t="shared" si="13"/>
        <v>8.81</v>
      </c>
      <c r="J47" s="147">
        <f t="shared" si="14"/>
        <v>2001.63</v>
      </c>
      <c r="K47" s="306">
        <f t="shared" si="15"/>
        <v>0.0035159</v>
      </c>
      <c r="M47" s="300"/>
      <c r="N47" s="2"/>
      <c r="O47" s="2"/>
    </row>
    <row r="48" spans="1:15" s="14" customFormat="1" ht="39" thickBot="1">
      <c r="A48" s="15" t="s">
        <v>83</v>
      </c>
      <c r="B48" s="173">
        <v>40602</v>
      </c>
      <c r="C48" s="16" t="s">
        <v>55</v>
      </c>
      <c r="D48" s="8" t="s">
        <v>98</v>
      </c>
      <c r="E48" s="17" t="s">
        <v>324</v>
      </c>
      <c r="F48" s="17">
        <f>'MEMÓRIA DE CÁLCULO'!J248</f>
        <v>89.12</v>
      </c>
      <c r="G48" s="146">
        <v>87.68</v>
      </c>
      <c r="H48" s="146">
        <f t="shared" si="12"/>
        <v>27.09</v>
      </c>
      <c r="I48" s="144">
        <f t="shared" si="13"/>
        <v>114.77</v>
      </c>
      <c r="J48" s="147">
        <f t="shared" si="14"/>
        <v>10228.3</v>
      </c>
      <c r="K48" s="306">
        <f t="shared" si="15"/>
        <v>0.0179661</v>
      </c>
      <c r="M48" s="300"/>
      <c r="N48" s="2"/>
      <c r="O48" s="2"/>
    </row>
    <row r="49" spans="1:14" ht="21" customHeight="1" thickBot="1">
      <c r="A49" s="123"/>
      <c r="B49" s="171"/>
      <c r="C49" s="124"/>
      <c r="D49" s="125" t="s">
        <v>100</v>
      </c>
      <c r="E49" s="126"/>
      <c r="F49" s="140"/>
      <c r="G49" s="150"/>
      <c r="H49" s="150"/>
      <c r="I49" s="150"/>
      <c r="J49" s="151">
        <f>SUM(J43:J48)</f>
        <v>74248.12</v>
      </c>
      <c r="K49" s="307">
        <f>J49/$J$169</f>
        <v>0.1304177</v>
      </c>
      <c r="N49" s="443"/>
    </row>
    <row r="50" spans="1:15" s="14" customFormat="1" ht="21" customHeight="1">
      <c r="A50" s="10"/>
      <c r="B50" s="174"/>
      <c r="C50" s="11" t="s">
        <v>56</v>
      </c>
      <c r="D50" s="12" t="s">
        <v>34</v>
      </c>
      <c r="E50" s="18"/>
      <c r="F50" s="18"/>
      <c r="G50" s="149"/>
      <c r="H50" s="149"/>
      <c r="I50" s="149"/>
      <c r="J50" s="149"/>
      <c r="K50" s="310"/>
      <c r="M50" s="156"/>
      <c r="N50" s="2"/>
      <c r="O50" s="2"/>
    </row>
    <row r="51" spans="1:15" s="14" customFormat="1" ht="38.25">
      <c r="A51" s="15" t="s">
        <v>85</v>
      </c>
      <c r="B51" s="173">
        <v>87479</v>
      </c>
      <c r="C51" s="16" t="s">
        <v>13</v>
      </c>
      <c r="D51" s="183" t="s">
        <v>185</v>
      </c>
      <c r="E51" s="17" t="s">
        <v>324</v>
      </c>
      <c r="F51" s="17">
        <f>'MEMÓRIA DE CÁLCULO'!J272</f>
        <v>101.51</v>
      </c>
      <c r="G51" s="148">
        <v>46.52</v>
      </c>
      <c r="H51" s="146">
        <f>G51*$M$4</f>
        <v>14.37</v>
      </c>
      <c r="I51" s="144">
        <f>G51+H51</f>
        <v>60.89</v>
      </c>
      <c r="J51" s="147">
        <f>I51*F51</f>
        <v>6180.94</v>
      </c>
      <c r="K51" s="306">
        <f>J51/$J$169</f>
        <v>0.0108569</v>
      </c>
      <c r="M51" s="156"/>
      <c r="N51" s="2"/>
      <c r="O51" s="2"/>
    </row>
    <row r="52" spans="1:15" s="14" customFormat="1" ht="39" thickBot="1">
      <c r="A52" s="15" t="s">
        <v>85</v>
      </c>
      <c r="B52" s="173">
        <v>87477</v>
      </c>
      <c r="C52" s="16" t="s">
        <v>14</v>
      </c>
      <c r="D52" s="20" t="s">
        <v>184</v>
      </c>
      <c r="E52" s="17" t="s">
        <v>324</v>
      </c>
      <c r="F52" s="17">
        <f>'MEMÓRIA DE CÁLCULO'!J280</f>
        <v>310.46</v>
      </c>
      <c r="G52" s="148">
        <v>33.04</v>
      </c>
      <c r="H52" s="146">
        <f>G52*$M$4</f>
        <v>10.21</v>
      </c>
      <c r="I52" s="144">
        <f>G52+H52</f>
        <v>43.25</v>
      </c>
      <c r="J52" s="147">
        <f>I52*F52</f>
        <v>13427.4</v>
      </c>
      <c r="K52" s="306">
        <f>J52/$J$169</f>
        <v>0.0235854</v>
      </c>
      <c r="M52" s="156"/>
      <c r="N52" s="2"/>
      <c r="O52" s="2"/>
    </row>
    <row r="53" spans="1:14" ht="30.75" customHeight="1" thickBot="1">
      <c r="A53" s="123"/>
      <c r="B53" s="171"/>
      <c r="C53" s="124"/>
      <c r="D53" s="125" t="s">
        <v>101</v>
      </c>
      <c r="E53" s="126"/>
      <c r="F53" s="140"/>
      <c r="G53" s="150"/>
      <c r="H53" s="150"/>
      <c r="I53" s="150"/>
      <c r="J53" s="151">
        <f>SUM(J51:J52)</f>
        <v>19608.34</v>
      </c>
      <c r="K53" s="307">
        <f>J53/$J$169</f>
        <v>0.0344423</v>
      </c>
      <c r="N53" s="443"/>
    </row>
    <row r="54" spans="1:15" s="14" customFormat="1" ht="21" customHeight="1">
      <c r="A54" s="10"/>
      <c r="B54" s="174"/>
      <c r="C54" s="11" t="s">
        <v>57</v>
      </c>
      <c r="D54" s="12" t="s">
        <v>106</v>
      </c>
      <c r="E54" s="18"/>
      <c r="F54" s="18"/>
      <c r="G54" s="149"/>
      <c r="H54" s="149"/>
      <c r="I54" s="149"/>
      <c r="J54" s="149"/>
      <c r="K54" s="310"/>
      <c r="M54" s="156"/>
      <c r="N54" s="2"/>
      <c r="O54" s="2"/>
    </row>
    <row r="55" spans="1:15" s="14" customFormat="1" ht="39" thickBot="1">
      <c r="A55" s="15" t="s">
        <v>83</v>
      </c>
      <c r="B55" s="173">
        <v>50301</v>
      </c>
      <c r="C55" s="16" t="s">
        <v>15</v>
      </c>
      <c r="D55" s="8" t="s">
        <v>107</v>
      </c>
      <c r="E55" s="17" t="s">
        <v>23</v>
      </c>
      <c r="F55" s="17">
        <f>'MEMÓRIA DE CÁLCULO'!J305</f>
        <v>70.94</v>
      </c>
      <c r="G55" s="146">
        <v>8.25</v>
      </c>
      <c r="H55" s="146">
        <f>G55*$M$4</f>
        <v>2.55</v>
      </c>
      <c r="I55" s="144">
        <f>G55+H55</f>
        <v>10.8</v>
      </c>
      <c r="J55" s="147">
        <f>I55*F55</f>
        <v>766.15</v>
      </c>
      <c r="K55" s="306">
        <f>J55/$J$169</f>
        <v>0.0013458</v>
      </c>
      <c r="M55" s="300"/>
      <c r="N55" s="2"/>
      <c r="O55" s="2"/>
    </row>
    <row r="56" spans="1:14" ht="32.25" customHeight="1" thickBot="1">
      <c r="A56" s="123"/>
      <c r="B56" s="171"/>
      <c r="C56" s="124"/>
      <c r="D56" s="125" t="s">
        <v>102</v>
      </c>
      <c r="E56" s="126"/>
      <c r="F56" s="140"/>
      <c r="G56" s="150"/>
      <c r="H56" s="150"/>
      <c r="I56" s="150"/>
      <c r="J56" s="151">
        <f>J55</f>
        <v>766.15</v>
      </c>
      <c r="K56" s="307">
        <f>J56/$J$169</f>
        <v>0.0013458</v>
      </c>
      <c r="N56" s="443"/>
    </row>
    <row r="57" spans="1:15" s="14" customFormat="1" ht="21" customHeight="1">
      <c r="A57" s="10"/>
      <c r="B57" s="174"/>
      <c r="C57" s="11" t="s">
        <v>58</v>
      </c>
      <c r="D57" s="12" t="s">
        <v>76</v>
      </c>
      <c r="E57" s="18"/>
      <c r="F57" s="18"/>
      <c r="G57" s="149"/>
      <c r="H57" s="149"/>
      <c r="I57" s="149"/>
      <c r="J57" s="149"/>
      <c r="K57" s="310"/>
      <c r="M57" s="156"/>
      <c r="N57" s="2"/>
      <c r="O57" s="2"/>
    </row>
    <row r="58" spans="1:15" s="14" customFormat="1" ht="26.25" thickBot="1">
      <c r="A58" s="392" t="s">
        <v>85</v>
      </c>
      <c r="B58" s="393" t="s">
        <v>643</v>
      </c>
      <c r="C58" s="16" t="s">
        <v>16</v>
      </c>
      <c r="D58" s="8" t="s">
        <v>525</v>
      </c>
      <c r="E58" s="17" t="s">
        <v>324</v>
      </c>
      <c r="F58" s="17">
        <f>'MEMÓRIA DE CÁLCULO'!J339</f>
        <v>41.22</v>
      </c>
      <c r="G58" s="148">
        <v>359.87</v>
      </c>
      <c r="H58" s="146">
        <f>G58*$M$4</f>
        <v>111.2</v>
      </c>
      <c r="I58" s="144">
        <f>G58+H58</f>
        <v>471.07</v>
      </c>
      <c r="J58" s="147">
        <f>I58*F58</f>
        <v>19417.51</v>
      </c>
      <c r="K58" s="306">
        <f>J58/$J$169</f>
        <v>0.0341071</v>
      </c>
      <c r="M58" s="156"/>
      <c r="N58" s="2"/>
      <c r="O58" s="2"/>
    </row>
    <row r="59" spans="1:15" s="14" customFormat="1" ht="26.25" customHeight="1">
      <c r="A59" s="15" t="s">
        <v>85</v>
      </c>
      <c r="B59" s="438" t="s">
        <v>638</v>
      </c>
      <c r="C59" s="16" t="s">
        <v>17</v>
      </c>
      <c r="D59" s="8" t="s">
        <v>639</v>
      </c>
      <c r="E59" s="17" t="s">
        <v>324</v>
      </c>
      <c r="F59" s="17">
        <f>'MEMÓRIA DE CÁLCULO'!J357</f>
        <v>23.1</v>
      </c>
      <c r="G59" s="148">
        <v>483.11</v>
      </c>
      <c r="H59" s="435">
        <f>G59*$M$4</f>
        <v>149.28</v>
      </c>
      <c r="I59" s="148">
        <f>G59+H59</f>
        <v>632.39</v>
      </c>
      <c r="J59" s="147">
        <f>I59*F59</f>
        <v>14608.21</v>
      </c>
      <c r="K59" s="306">
        <f>J59/$J$169</f>
        <v>0.0256595</v>
      </c>
      <c r="M59" s="156"/>
      <c r="N59" s="2"/>
      <c r="O59" s="2"/>
    </row>
    <row r="60" spans="1:15" s="14" customFormat="1" ht="26.25" customHeight="1" thickBot="1">
      <c r="A60" s="456" t="s">
        <v>83</v>
      </c>
      <c r="B60" s="457" t="s">
        <v>640</v>
      </c>
      <c r="C60" s="426" t="s">
        <v>644</v>
      </c>
      <c r="D60" s="119" t="s">
        <v>641</v>
      </c>
      <c r="E60" s="458" t="s">
        <v>324</v>
      </c>
      <c r="F60" s="458">
        <f>'MEMÓRIA DE CÁLCULO'!J368</f>
        <v>1.32</v>
      </c>
      <c r="G60" s="459">
        <v>341.23</v>
      </c>
      <c r="H60" s="460">
        <f>G60*$M$4</f>
        <v>105.44</v>
      </c>
      <c r="I60" s="459">
        <f>G60+H60</f>
        <v>446.67</v>
      </c>
      <c r="J60" s="461">
        <f>I60*F60</f>
        <v>589.6</v>
      </c>
      <c r="K60" s="462">
        <f>J60/$J$169</f>
        <v>0.0010356</v>
      </c>
      <c r="M60" s="156"/>
      <c r="N60" s="2"/>
      <c r="O60" s="2"/>
    </row>
    <row r="61" spans="1:14" ht="21" customHeight="1" thickBot="1">
      <c r="A61" s="123"/>
      <c r="B61" s="171"/>
      <c r="C61" s="124"/>
      <c r="D61" s="125" t="s">
        <v>714</v>
      </c>
      <c r="E61" s="126"/>
      <c r="F61" s="140"/>
      <c r="G61" s="150"/>
      <c r="H61" s="150"/>
      <c r="I61" s="150"/>
      <c r="J61" s="151">
        <f>J58+J59+J60</f>
        <v>34615.32</v>
      </c>
      <c r="K61" s="307">
        <f>J61/$J$169</f>
        <v>0.0608022</v>
      </c>
      <c r="N61" s="443"/>
    </row>
    <row r="62" spans="1:15" s="14" customFormat="1" ht="21" customHeight="1">
      <c r="A62" s="10"/>
      <c r="B62" s="174"/>
      <c r="C62" s="11" t="s">
        <v>59</v>
      </c>
      <c r="D62" s="12" t="s">
        <v>111</v>
      </c>
      <c r="E62" s="18"/>
      <c r="F62" s="18"/>
      <c r="G62" s="149"/>
      <c r="H62" s="149"/>
      <c r="I62" s="149"/>
      <c r="J62" s="149"/>
      <c r="K62" s="310"/>
      <c r="M62" s="156"/>
      <c r="N62" s="2"/>
      <c r="O62" s="2"/>
    </row>
    <row r="63" spans="1:15" s="14" customFormat="1" ht="63.75">
      <c r="A63" s="15" t="s">
        <v>83</v>
      </c>
      <c r="B63" s="173">
        <v>90102</v>
      </c>
      <c r="C63" s="16" t="s">
        <v>18</v>
      </c>
      <c r="D63" s="8" t="s">
        <v>329</v>
      </c>
      <c r="E63" s="17" t="s">
        <v>324</v>
      </c>
      <c r="F63" s="17">
        <f>'MEMÓRIA DE CÁLCULO'!J373</f>
        <v>254.83</v>
      </c>
      <c r="G63" s="146">
        <v>72.41</v>
      </c>
      <c r="H63" s="146">
        <f>G63*$M$4</f>
        <v>22.37</v>
      </c>
      <c r="I63" s="144">
        <f>G63+H63</f>
        <v>94.78</v>
      </c>
      <c r="J63" s="147">
        <f>I63*F63</f>
        <v>24152.79</v>
      </c>
      <c r="K63" s="306">
        <f aca="true" t="shared" si="16" ref="K63:K68">J63/$J$169</f>
        <v>0.0424247</v>
      </c>
      <c r="M63" s="300"/>
      <c r="N63" s="2"/>
      <c r="O63" s="2"/>
    </row>
    <row r="64" spans="1:15" s="14" customFormat="1" ht="25.5">
      <c r="A64" s="15" t="s">
        <v>83</v>
      </c>
      <c r="B64" s="173">
        <v>90202</v>
      </c>
      <c r="C64" s="16" t="s">
        <v>19</v>
      </c>
      <c r="D64" s="8" t="s">
        <v>328</v>
      </c>
      <c r="E64" s="17" t="s">
        <v>324</v>
      </c>
      <c r="F64" s="17">
        <f>'MEMÓRIA DE CÁLCULO'!J384</f>
        <v>254.83</v>
      </c>
      <c r="G64" s="146">
        <v>35.21</v>
      </c>
      <c r="H64" s="146">
        <f>G64*$M$4</f>
        <v>10.88</v>
      </c>
      <c r="I64" s="144">
        <f>G64+H64</f>
        <v>46.09</v>
      </c>
      <c r="J64" s="147">
        <f>I64*F64</f>
        <v>11745.11</v>
      </c>
      <c r="K64" s="306">
        <f t="shared" si="16"/>
        <v>0.0206304</v>
      </c>
      <c r="M64" s="300"/>
      <c r="N64" s="2"/>
      <c r="O64" s="2"/>
    </row>
    <row r="65" spans="1:15" s="14" customFormat="1" ht="21" customHeight="1">
      <c r="A65" s="15" t="s">
        <v>83</v>
      </c>
      <c r="B65" s="173">
        <v>90302</v>
      </c>
      <c r="C65" s="16" t="s">
        <v>20</v>
      </c>
      <c r="D65" s="8" t="s">
        <v>113</v>
      </c>
      <c r="E65" s="17" t="s">
        <v>23</v>
      </c>
      <c r="F65" s="17">
        <f>'MEMÓRIA DE CÁLCULO'!J395</f>
        <v>79.07</v>
      </c>
      <c r="G65" s="146">
        <v>21.92</v>
      </c>
      <c r="H65" s="146">
        <f>G65*$M$4</f>
        <v>6.77</v>
      </c>
      <c r="I65" s="144">
        <f>G65+H65</f>
        <v>28.69</v>
      </c>
      <c r="J65" s="147">
        <f>I65*F65</f>
        <v>2268.52</v>
      </c>
      <c r="K65" s="306">
        <f t="shared" si="16"/>
        <v>0.0039847</v>
      </c>
      <c r="M65" s="300"/>
      <c r="N65" s="2"/>
      <c r="O65" s="2"/>
    </row>
    <row r="66" spans="1:15" s="14" customFormat="1" ht="21" customHeight="1">
      <c r="A66" s="15" t="s">
        <v>83</v>
      </c>
      <c r="B66" s="173">
        <v>90312</v>
      </c>
      <c r="C66" s="16" t="s">
        <v>21</v>
      </c>
      <c r="D66" s="8" t="s">
        <v>114</v>
      </c>
      <c r="E66" s="17" t="s">
        <v>23</v>
      </c>
      <c r="F66" s="17">
        <f>'MEMÓRIA DE CÁLCULO'!J406</f>
        <v>43.51</v>
      </c>
      <c r="G66" s="146">
        <v>83.95</v>
      </c>
      <c r="H66" s="146">
        <f>G66*$M$4</f>
        <v>25.94</v>
      </c>
      <c r="I66" s="144">
        <f>G66+H66</f>
        <v>109.89</v>
      </c>
      <c r="J66" s="147">
        <f>I66*F66</f>
        <v>4781.31</v>
      </c>
      <c r="K66" s="306">
        <f t="shared" si="16"/>
        <v>0.0083984</v>
      </c>
      <c r="M66" s="300"/>
      <c r="N66" s="2"/>
      <c r="O66" s="2"/>
    </row>
    <row r="67" spans="1:15" s="14" customFormat="1" ht="26.25" thickBot="1">
      <c r="A67" s="392"/>
      <c r="B67" s="393" t="s">
        <v>545</v>
      </c>
      <c r="C67" s="16" t="s">
        <v>645</v>
      </c>
      <c r="D67" s="8" t="s">
        <v>115</v>
      </c>
      <c r="E67" s="17" t="s">
        <v>23</v>
      </c>
      <c r="F67" s="17">
        <f>'MEMÓRIA DE CÁLCULO'!J416</f>
        <v>60.85</v>
      </c>
      <c r="G67" s="148">
        <v>35.24</v>
      </c>
      <c r="H67" s="146">
        <f>G67*$M$4</f>
        <v>10.89</v>
      </c>
      <c r="I67" s="144">
        <f>G67+H67</f>
        <v>46.13</v>
      </c>
      <c r="J67" s="147">
        <f>I67*F67</f>
        <v>2807.01</v>
      </c>
      <c r="K67" s="306">
        <f t="shared" si="16"/>
        <v>0.0049305</v>
      </c>
      <c r="M67" s="156"/>
      <c r="N67" s="2"/>
      <c r="O67" s="2"/>
    </row>
    <row r="68" spans="1:14" ht="21" customHeight="1" thickBot="1">
      <c r="A68" s="390"/>
      <c r="B68" s="391"/>
      <c r="C68" s="124"/>
      <c r="D68" s="125" t="s">
        <v>110</v>
      </c>
      <c r="E68" s="126"/>
      <c r="F68" s="140"/>
      <c r="G68" s="150"/>
      <c r="H68" s="150"/>
      <c r="I68" s="150"/>
      <c r="J68" s="151">
        <f>SUM(J63:J67)</f>
        <v>45754.74</v>
      </c>
      <c r="K68" s="307">
        <f t="shared" si="16"/>
        <v>0.0803688</v>
      </c>
      <c r="N68" s="443"/>
    </row>
    <row r="69" spans="1:15" s="14" customFormat="1" ht="21" customHeight="1">
      <c r="A69" s="10"/>
      <c r="B69" s="174"/>
      <c r="C69" s="11" t="s">
        <v>61</v>
      </c>
      <c r="D69" s="12" t="s">
        <v>117</v>
      </c>
      <c r="E69" s="18"/>
      <c r="F69" s="18"/>
      <c r="G69" s="149"/>
      <c r="H69" s="149"/>
      <c r="I69" s="149"/>
      <c r="J69" s="149"/>
      <c r="K69" s="310"/>
      <c r="M69" s="156"/>
      <c r="N69" s="2"/>
      <c r="O69" s="2"/>
    </row>
    <row r="70" spans="1:15" s="14" customFormat="1" ht="25.5">
      <c r="A70" s="15" t="s">
        <v>83</v>
      </c>
      <c r="B70" s="173">
        <v>120101</v>
      </c>
      <c r="C70" s="16" t="s">
        <v>62</v>
      </c>
      <c r="D70" s="8" t="s">
        <v>103</v>
      </c>
      <c r="E70" s="17" t="s">
        <v>324</v>
      </c>
      <c r="F70" s="17">
        <f>'MEMÓRIA DE CÁLCULO'!J426</f>
        <v>923.94</v>
      </c>
      <c r="G70" s="146">
        <v>4.31</v>
      </c>
      <c r="H70" s="146">
        <f>G70*$M$4</f>
        <v>1.33</v>
      </c>
      <c r="I70" s="144">
        <f>G70+H70</f>
        <v>5.64</v>
      </c>
      <c r="J70" s="147">
        <f>I70*F70</f>
        <v>5211.02</v>
      </c>
      <c r="K70" s="306">
        <f>J70/$J$169</f>
        <v>0.0091532</v>
      </c>
      <c r="M70" s="300"/>
      <c r="N70" s="2"/>
      <c r="O70" s="2"/>
    </row>
    <row r="71" spans="1:15" s="14" customFormat="1" ht="51">
      <c r="A71" s="15" t="s">
        <v>83</v>
      </c>
      <c r="B71" s="173">
        <v>120220</v>
      </c>
      <c r="C71" s="16" t="s">
        <v>63</v>
      </c>
      <c r="D71" s="8" t="s">
        <v>120</v>
      </c>
      <c r="E71" s="17" t="s">
        <v>324</v>
      </c>
      <c r="F71" s="17">
        <f>'MEMÓRIA DE CÁLCULO'!J435</f>
        <v>230.31</v>
      </c>
      <c r="G71" s="146">
        <v>51.31</v>
      </c>
      <c r="H71" s="146">
        <f>G71*$M$4</f>
        <v>15.85</v>
      </c>
      <c r="I71" s="144">
        <f>G71+H71</f>
        <v>67.16</v>
      </c>
      <c r="J71" s="147">
        <f>I71*F71</f>
        <v>15467.62</v>
      </c>
      <c r="K71" s="306">
        <f>J71/$J$169</f>
        <v>0.0271691</v>
      </c>
      <c r="M71" s="300"/>
      <c r="N71" s="2"/>
      <c r="O71" s="2"/>
    </row>
    <row r="72" spans="1:15" s="14" customFormat="1" ht="38.25">
      <c r="A72" s="15" t="s">
        <v>83</v>
      </c>
      <c r="B72" s="173">
        <v>120301</v>
      </c>
      <c r="C72" s="16" t="s">
        <v>64</v>
      </c>
      <c r="D72" s="8" t="s">
        <v>118</v>
      </c>
      <c r="E72" s="17" t="s">
        <v>324</v>
      </c>
      <c r="F72" s="17">
        <f>F71</f>
        <v>230.31</v>
      </c>
      <c r="G72" s="146">
        <v>21.16</v>
      </c>
      <c r="H72" s="146">
        <f>G72*$M$4</f>
        <v>6.54</v>
      </c>
      <c r="I72" s="144">
        <f>G72+H72</f>
        <v>27.7</v>
      </c>
      <c r="J72" s="147">
        <f>I72*F72</f>
        <v>6379.59</v>
      </c>
      <c r="K72" s="306">
        <f>J72/$J$169</f>
        <v>0.0112058</v>
      </c>
      <c r="M72" s="300"/>
      <c r="N72" s="2"/>
      <c r="O72" s="2"/>
    </row>
    <row r="73" spans="1:15" s="14" customFormat="1" ht="41.25" customHeight="1" thickBot="1">
      <c r="A73" s="15" t="s">
        <v>83</v>
      </c>
      <c r="B73" s="173">
        <v>120302</v>
      </c>
      <c r="C73" s="16" t="s">
        <v>65</v>
      </c>
      <c r="D73" s="8" t="s">
        <v>119</v>
      </c>
      <c r="E73" s="17" t="s">
        <v>324</v>
      </c>
      <c r="F73" s="17">
        <f>'MEMÓRIA DE CÁLCULO'!J469</f>
        <v>693.63</v>
      </c>
      <c r="G73" s="146">
        <v>15.06</v>
      </c>
      <c r="H73" s="146">
        <f>G73*$M$4</f>
        <v>4.65</v>
      </c>
      <c r="I73" s="144">
        <f>G73+H73</f>
        <v>19.71</v>
      </c>
      <c r="J73" s="147">
        <f>I73*F73</f>
        <v>13671.45</v>
      </c>
      <c r="K73" s="306">
        <f>J73/$J$169</f>
        <v>0.0240141</v>
      </c>
      <c r="M73" s="300"/>
      <c r="N73" s="2"/>
      <c r="O73" s="2"/>
    </row>
    <row r="74" spans="1:14" ht="21" customHeight="1" thickBot="1">
      <c r="A74" s="123"/>
      <c r="B74" s="171"/>
      <c r="C74" s="124"/>
      <c r="D74" s="125" t="s">
        <v>112</v>
      </c>
      <c r="E74" s="126"/>
      <c r="F74" s="140"/>
      <c r="G74" s="150"/>
      <c r="H74" s="150"/>
      <c r="I74" s="150"/>
      <c r="J74" s="151">
        <f>SUM(J70:J73)</f>
        <v>40729.68</v>
      </c>
      <c r="K74" s="307">
        <f>J74/$J$169</f>
        <v>0.0715422</v>
      </c>
      <c r="N74" s="443"/>
    </row>
    <row r="75" spans="1:15" s="14" customFormat="1" ht="21" customHeight="1">
      <c r="A75" s="10"/>
      <c r="B75" s="174"/>
      <c r="C75" s="11" t="s">
        <v>66</v>
      </c>
      <c r="D75" s="12" t="s">
        <v>26</v>
      </c>
      <c r="E75" s="18"/>
      <c r="F75" s="18"/>
      <c r="G75" s="149"/>
      <c r="H75" s="149"/>
      <c r="I75" s="149"/>
      <c r="J75" s="149"/>
      <c r="K75" s="310"/>
      <c r="M75" s="156"/>
      <c r="N75" s="2"/>
      <c r="O75" s="2"/>
    </row>
    <row r="76" spans="1:15" s="14" customFormat="1" ht="38.25">
      <c r="A76" s="15" t="s">
        <v>83</v>
      </c>
      <c r="B76" s="173">
        <v>130104</v>
      </c>
      <c r="C76" s="16" t="s">
        <v>67</v>
      </c>
      <c r="D76" s="8" t="s">
        <v>122</v>
      </c>
      <c r="E76" s="17" t="s">
        <v>324</v>
      </c>
      <c r="F76" s="17">
        <f>'MEMÓRIA DE CÁLCULO'!J474</f>
        <v>352.07</v>
      </c>
      <c r="G76" s="146">
        <v>23.12</v>
      </c>
      <c r="H76" s="146">
        <f>G76*$M$4</f>
        <v>7.14</v>
      </c>
      <c r="I76" s="144">
        <f>G76+H76</f>
        <v>30.26</v>
      </c>
      <c r="J76" s="147">
        <f>I76*F76</f>
        <v>10653.64</v>
      </c>
      <c r="K76" s="306">
        <f aca="true" t="shared" si="17" ref="K76:K81">J76/$J$169</f>
        <v>0.0187132</v>
      </c>
      <c r="M76" s="300"/>
      <c r="N76" s="2"/>
      <c r="O76" s="2"/>
    </row>
    <row r="77" spans="1:15" s="14" customFormat="1" ht="51">
      <c r="A77" s="15" t="s">
        <v>83</v>
      </c>
      <c r="B77" s="173">
        <v>130235</v>
      </c>
      <c r="C77" s="16" t="s">
        <v>68</v>
      </c>
      <c r="D77" s="8" t="s">
        <v>308</v>
      </c>
      <c r="E77" s="17" t="s">
        <v>324</v>
      </c>
      <c r="F77" s="17">
        <f>'MEMÓRIA DE CÁLCULO'!J510</f>
        <v>34.17</v>
      </c>
      <c r="G77" s="146">
        <v>38.22</v>
      </c>
      <c r="H77" s="146">
        <f>G77*$M$4</f>
        <v>11.81</v>
      </c>
      <c r="I77" s="144">
        <f>G77+H77</f>
        <v>50.03</v>
      </c>
      <c r="J77" s="147">
        <f>I77*F77</f>
        <v>1709.53</v>
      </c>
      <c r="K77" s="306">
        <f t="shared" si="17"/>
        <v>0.0030028</v>
      </c>
      <c r="M77" s="300"/>
      <c r="N77" s="2"/>
      <c r="O77" s="2"/>
    </row>
    <row r="78" spans="1:15" s="14" customFormat="1" ht="25.5">
      <c r="A78" s="15" t="s">
        <v>85</v>
      </c>
      <c r="B78" s="173">
        <v>87257</v>
      </c>
      <c r="C78" s="16" t="s">
        <v>69</v>
      </c>
      <c r="D78" s="8" t="s">
        <v>123</v>
      </c>
      <c r="E78" s="17" t="s">
        <v>324</v>
      </c>
      <c r="F78" s="17">
        <f>'MEMÓRIA DE CÁLCULO'!J523</f>
        <v>317.9</v>
      </c>
      <c r="G78" s="148">
        <v>45.46</v>
      </c>
      <c r="H78" s="146">
        <f>G78*$M$4</f>
        <v>14.05</v>
      </c>
      <c r="I78" s="144">
        <f>G78+H78</f>
        <v>59.51</v>
      </c>
      <c r="J78" s="147">
        <f>I78*F78</f>
        <v>18918.23</v>
      </c>
      <c r="K78" s="306">
        <f t="shared" si="17"/>
        <v>0.0332301</v>
      </c>
      <c r="M78" s="156"/>
      <c r="N78" s="2"/>
      <c r="O78" s="2"/>
    </row>
    <row r="79" spans="1:15" s="14" customFormat="1" ht="38.25">
      <c r="A79" s="15" t="s">
        <v>83</v>
      </c>
      <c r="B79" s="173">
        <v>130320</v>
      </c>
      <c r="C79" s="16" t="s">
        <v>70</v>
      </c>
      <c r="D79" s="8" t="s">
        <v>124</v>
      </c>
      <c r="E79" s="17" t="s">
        <v>23</v>
      </c>
      <c r="F79" s="17">
        <f>'MEMÓRIA DE CÁLCULO'!J550</f>
        <v>321.86</v>
      </c>
      <c r="G79" s="146">
        <v>20.51</v>
      </c>
      <c r="H79" s="146">
        <f>G79*$M$4</f>
        <v>6.34</v>
      </c>
      <c r="I79" s="144">
        <f>G79+H79</f>
        <v>26.85</v>
      </c>
      <c r="J79" s="147">
        <f>I79*F79</f>
        <v>8641.94</v>
      </c>
      <c r="K79" s="306">
        <f t="shared" si="17"/>
        <v>0.0151797</v>
      </c>
      <c r="M79" s="300"/>
      <c r="N79" s="2"/>
      <c r="O79" s="2"/>
    </row>
    <row r="80" spans="1:15" s="14" customFormat="1" ht="23.25" customHeight="1" thickBot="1">
      <c r="A80" s="431"/>
      <c r="B80" s="432" t="s">
        <v>704</v>
      </c>
      <c r="C80" s="16" t="s">
        <v>706</v>
      </c>
      <c r="D80" s="433" t="s">
        <v>705</v>
      </c>
      <c r="E80" s="434" t="s">
        <v>324</v>
      </c>
      <c r="F80" s="434">
        <f>'MEMÓRIA DE CÁLCULO'!J607</f>
        <v>68.09</v>
      </c>
      <c r="G80" s="162">
        <f>'PIS-01'!I41</f>
        <v>208.25</v>
      </c>
      <c r="H80" s="146">
        <f>G80*$M$4</f>
        <v>64.35</v>
      </c>
      <c r="I80" s="144">
        <f>G80+H80</f>
        <v>272.6</v>
      </c>
      <c r="J80" s="147">
        <f>I80*F80</f>
        <v>18561.33</v>
      </c>
      <c r="K80" s="306">
        <f t="shared" si="17"/>
        <v>0.0326032</v>
      </c>
      <c r="M80" s="300"/>
      <c r="N80" s="2"/>
      <c r="O80" s="2"/>
    </row>
    <row r="81" spans="1:14" ht="21" customHeight="1" thickBot="1">
      <c r="A81" s="123"/>
      <c r="B81" s="171"/>
      <c r="C81" s="124"/>
      <c r="D81" s="125" t="s">
        <v>121</v>
      </c>
      <c r="E81" s="126"/>
      <c r="F81" s="140"/>
      <c r="G81" s="150"/>
      <c r="H81" s="150"/>
      <c r="I81" s="150"/>
      <c r="J81" s="151">
        <f>SUM(J76:J80)</f>
        <v>58484.67</v>
      </c>
      <c r="K81" s="307">
        <f t="shared" si="17"/>
        <v>0.102729</v>
      </c>
      <c r="N81" s="443"/>
    </row>
    <row r="82" spans="1:15" s="14" customFormat="1" ht="21" customHeight="1">
      <c r="A82" s="10"/>
      <c r="B82" s="174"/>
      <c r="C82" s="11" t="s">
        <v>71</v>
      </c>
      <c r="D82" s="388" t="s">
        <v>35</v>
      </c>
      <c r="E82" s="18"/>
      <c r="F82" s="18"/>
      <c r="G82" s="149"/>
      <c r="H82" s="149"/>
      <c r="I82" s="149"/>
      <c r="J82" s="149"/>
      <c r="K82" s="310"/>
      <c r="M82" s="156"/>
      <c r="N82" s="2"/>
      <c r="O82" s="2"/>
    </row>
    <row r="83" spans="1:15" s="14" customFormat="1" ht="42.75" customHeight="1">
      <c r="A83" s="15" t="s">
        <v>83</v>
      </c>
      <c r="B83" s="173">
        <v>151401</v>
      </c>
      <c r="C83" s="21" t="s">
        <v>22</v>
      </c>
      <c r="D83" s="20" t="s">
        <v>527</v>
      </c>
      <c r="E83" s="22" t="s">
        <v>23</v>
      </c>
      <c r="F83" s="17">
        <v>3000</v>
      </c>
      <c r="G83" s="148">
        <v>3.3</v>
      </c>
      <c r="H83" s="146">
        <f aca="true" t="shared" si="18" ref="H83:H109">G83*$M$4</f>
        <v>1.02</v>
      </c>
      <c r="I83" s="144">
        <f aca="true" t="shared" si="19" ref="I83:I109">G83+H83</f>
        <v>4.32</v>
      </c>
      <c r="J83" s="147">
        <f aca="true" t="shared" si="20" ref="J83:J109">I83*F83</f>
        <v>12960</v>
      </c>
      <c r="K83" s="306">
        <f aca="true" t="shared" si="21" ref="K83:K109">J83/$J$169</f>
        <v>0.0227644</v>
      </c>
      <c r="M83" s="90"/>
      <c r="N83" s="445"/>
      <c r="O83" s="445"/>
    </row>
    <row r="84" spans="1:15" s="14" customFormat="1" ht="47.25" customHeight="1">
      <c r="A84" s="15" t="s">
        <v>83</v>
      </c>
      <c r="B84" s="173">
        <v>151417</v>
      </c>
      <c r="C84" s="21" t="s">
        <v>36</v>
      </c>
      <c r="D84" s="20" t="s">
        <v>528</v>
      </c>
      <c r="E84" s="22" t="s">
        <v>23</v>
      </c>
      <c r="F84" s="17">
        <v>2000</v>
      </c>
      <c r="G84" s="148">
        <v>4.38</v>
      </c>
      <c r="H84" s="146">
        <f t="shared" si="18"/>
        <v>1.35</v>
      </c>
      <c r="I84" s="144">
        <f t="shared" si="19"/>
        <v>5.73</v>
      </c>
      <c r="J84" s="147">
        <f t="shared" si="20"/>
        <v>11460</v>
      </c>
      <c r="K84" s="306">
        <f t="shared" si="21"/>
        <v>0.0201296</v>
      </c>
      <c r="M84" s="90"/>
      <c r="N84" s="445"/>
      <c r="O84" s="445"/>
    </row>
    <row r="85" spans="1:15" s="14" customFormat="1" ht="47.25" customHeight="1">
      <c r="A85" s="15" t="s">
        <v>83</v>
      </c>
      <c r="B85" s="173">
        <v>151418</v>
      </c>
      <c r="C85" s="21" t="s">
        <v>37</v>
      </c>
      <c r="D85" s="389" t="s">
        <v>529</v>
      </c>
      <c r="E85" s="22" t="s">
        <v>29</v>
      </c>
      <c r="F85" s="17">
        <v>300</v>
      </c>
      <c r="G85" s="148">
        <v>5.58</v>
      </c>
      <c r="H85" s="146">
        <f t="shared" si="18"/>
        <v>1.72</v>
      </c>
      <c r="I85" s="144">
        <f t="shared" si="19"/>
        <v>7.3</v>
      </c>
      <c r="J85" s="147">
        <f t="shared" si="20"/>
        <v>2190</v>
      </c>
      <c r="K85" s="306">
        <f t="shared" si="21"/>
        <v>0.0038468</v>
      </c>
      <c r="M85" s="89"/>
      <c r="N85" s="445"/>
      <c r="O85" s="445"/>
    </row>
    <row r="86" spans="1:15" s="14" customFormat="1" ht="51">
      <c r="A86" s="15" t="s">
        <v>83</v>
      </c>
      <c r="B86" s="173">
        <v>151421</v>
      </c>
      <c r="C86" s="21" t="s">
        <v>77</v>
      </c>
      <c r="D86" s="20" t="s">
        <v>530</v>
      </c>
      <c r="E86" s="22" t="s">
        <v>29</v>
      </c>
      <c r="F86" s="17">
        <v>440</v>
      </c>
      <c r="G86" s="148">
        <v>11.53</v>
      </c>
      <c r="H86" s="146">
        <f t="shared" si="18"/>
        <v>3.56</v>
      </c>
      <c r="I86" s="144">
        <f t="shared" si="19"/>
        <v>15.09</v>
      </c>
      <c r="J86" s="147">
        <f t="shared" si="20"/>
        <v>6639.6</v>
      </c>
      <c r="K86" s="306">
        <f t="shared" si="21"/>
        <v>0.0116625</v>
      </c>
      <c r="M86" s="89"/>
      <c r="N86" s="445"/>
      <c r="O86" s="445"/>
    </row>
    <row r="87" spans="1:15" s="14" customFormat="1" ht="19.5" customHeight="1">
      <c r="A87" s="15" t="s">
        <v>83</v>
      </c>
      <c r="B87" s="165">
        <v>151304</v>
      </c>
      <c r="C87" s="21" t="s">
        <v>646</v>
      </c>
      <c r="D87" s="20" t="s">
        <v>128</v>
      </c>
      <c r="E87" s="22" t="s">
        <v>29</v>
      </c>
      <c r="F87" s="17">
        <v>13</v>
      </c>
      <c r="G87" s="148">
        <v>14.41</v>
      </c>
      <c r="H87" s="146">
        <f t="shared" si="18"/>
        <v>4.45</v>
      </c>
      <c r="I87" s="144">
        <f t="shared" si="19"/>
        <v>18.86</v>
      </c>
      <c r="J87" s="147">
        <f t="shared" si="20"/>
        <v>245.18</v>
      </c>
      <c r="K87" s="306">
        <f t="shared" si="21"/>
        <v>0.0004307</v>
      </c>
      <c r="M87" s="89"/>
      <c r="N87" s="445"/>
      <c r="O87" s="445"/>
    </row>
    <row r="88" spans="1:15" s="14" customFormat="1" ht="19.5" customHeight="1">
      <c r="A88" s="15" t="s">
        <v>83</v>
      </c>
      <c r="B88" s="165">
        <v>151322</v>
      </c>
      <c r="C88" s="21" t="s">
        <v>647</v>
      </c>
      <c r="D88" s="389" t="s">
        <v>531</v>
      </c>
      <c r="E88" s="22" t="s">
        <v>29</v>
      </c>
      <c r="F88" s="17">
        <v>16</v>
      </c>
      <c r="G88" s="148">
        <v>40.61</v>
      </c>
      <c r="H88" s="146">
        <f t="shared" si="18"/>
        <v>12.55</v>
      </c>
      <c r="I88" s="144">
        <f t="shared" si="19"/>
        <v>53.16</v>
      </c>
      <c r="J88" s="147">
        <f t="shared" si="20"/>
        <v>850.56</v>
      </c>
      <c r="K88" s="306">
        <f t="shared" si="21"/>
        <v>0.001494</v>
      </c>
      <c r="M88" s="89"/>
      <c r="N88" s="445"/>
      <c r="O88" s="445"/>
    </row>
    <row r="89" spans="1:15" s="14" customFormat="1" ht="19.5" customHeight="1">
      <c r="A89" s="15" t="s">
        <v>83</v>
      </c>
      <c r="B89" s="165">
        <v>151330</v>
      </c>
      <c r="C89" s="21" t="s">
        <v>648</v>
      </c>
      <c r="D89" s="20" t="s">
        <v>580</v>
      </c>
      <c r="E89" s="22" t="s">
        <v>29</v>
      </c>
      <c r="F89" s="17">
        <v>2</v>
      </c>
      <c r="G89" s="148">
        <v>77.47</v>
      </c>
      <c r="H89" s="146">
        <f t="shared" si="18"/>
        <v>23.94</v>
      </c>
      <c r="I89" s="144">
        <f t="shared" si="19"/>
        <v>101.41</v>
      </c>
      <c r="J89" s="147">
        <f t="shared" si="20"/>
        <v>202.82</v>
      </c>
      <c r="K89" s="306">
        <f t="shared" si="21"/>
        <v>0.0003563</v>
      </c>
      <c r="M89" s="89"/>
      <c r="N89" s="445"/>
      <c r="O89" s="445"/>
    </row>
    <row r="90" spans="1:15" s="14" customFormat="1" ht="25.5">
      <c r="A90" s="15" t="s">
        <v>85</v>
      </c>
      <c r="B90" s="165">
        <v>39457</v>
      </c>
      <c r="C90" s="21" t="s">
        <v>649</v>
      </c>
      <c r="D90" s="20" t="s">
        <v>532</v>
      </c>
      <c r="E90" s="22" t="s">
        <v>29</v>
      </c>
      <c r="F90" s="17">
        <v>2</v>
      </c>
      <c r="G90" s="148">
        <v>151.18</v>
      </c>
      <c r="H90" s="146">
        <f t="shared" si="18"/>
        <v>46.71</v>
      </c>
      <c r="I90" s="144">
        <f t="shared" si="19"/>
        <v>197.89</v>
      </c>
      <c r="J90" s="147">
        <f t="shared" si="20"/>
        <v>395.78</v>
      </c>
      <c r="K90" s="306">
        <f t="shared" si="21"/>
        <v>0.0006952</v>
      </c>
      <c r="M90" s="89"/>
      <c r="N90" s="445"/>
      <c r="O90" s="445"/>
    </row>
    <row r="91" spans="1:15" s="14" customFormat="1" ht="25.5">
      <c r="A91" s="15" t="s">
        <v>85</v>
      </c>
      <c r="B91" s="165">
        <v>39469</v>
      </c>
      <c r="C91" s="21" t="s">
        <v>650</v>
      </c>
      <c r="D91" s="20" t="s">
        <v>533</v>
      </c>
      <c r="E91" s="22" t="s">
        <v>29</v>
      </c>
      <c r="F91" s="17">
        <v>4</v>
      </c>
      <c r="G91" s="148">
        <v>61.58</v>
      </c>
      <c r="H91" s="146">
        <f t="shared" si="18"/>
        <v>19.03</v>
      </c>
      <c r="I91" s="144">
        <f t="shared" si="19"/>
        <v>80.61</v>
      </c>
      <c r="J91" s="147">
        <f t="shared" si="20"/>
        <v>322.44</v>
      </c>
      <c r="K91" s="306">
        <f t="shared" si="21"/>
        <v>0.0005664</v>
      </c>
      <c r="M91" s="89"/>
      <c r="N91" s="445"/>
      <c r="O91" s="445"/>
    </row>
    <row r="92" spans="1:15" s="14" customFormat="1" ht="38.25">
      <c r="A92" s="15" t="s">
        <v>83</v>
      </c>
      <c r="B92" s="173">
        <v>150308</v>
      </c>
      <c r="C92" s="21" t="s">
        <v>651</v>
      </c>
      <c r="D92" s="20" t="s">
        <v>534</v>
      </c>
      <c r="E92" s="22" t="s">
        <v>29</v>
      </c>
      <c r="F92" s="17">
        <v>2</v>
      </c>
      <c r="G92" s="148">
        <v>376.75</v>
      </c>
      <c r="H92" s="146">
        <f t="shared" si="18"/>
        <v>116.42</v>
      </c>
      <c r="I92" s="144">
        <f t="shared" si="19"/>
        <v>493.17</v>
      </c>
      <c r="J92" s="147">
        <f t="shared" si="20"/>
        <v>986.34</v>
      </c>
      <c r="K92" s="306">
        <f t="shared" si="21"/>
        <v>0.0017325</v>
      </c>
      <c r="M92" s="89"/>
      <c r="N92" s="445"/>
      <c r="O92" s="445"/>
    </row>
    <row r="93" spans="1:15" s="14" customFormat="1" ht="25.5">
      <c r="A93" s="15" t="s">
        <v>83</v>
      </c>
      <c r="B93" s="173">
        <v>151133</v>
      </c>
      <c r="C93" s="21" t="s">
        <v>652</v>
      </c>
      <c r="D93" s="20" t="s">
        <v>535</v>
      </c>
      <c r="E93" s="22" t="s">
        <v>23</v>
      </c>
      <c r="F93" s="17">
        <v>800</v>
      </c>
      <c r="G93" s="148">
        <v>6.61</v>
      </c>
      <c r="H93" s="146">
        <f t="shared" si="18"/>
        <v>2.04</v>
      </c>
      <c r="I93" s="144">
        <f t="shared" si="19"/>
        <v>8.65</v>
      </c>
      <c r="J93" s="147">
        <f t="shared" si="20"/>
        <v>6920</v>
      </c>
      <c r="K93" s="306">
        <f t="shared" si="21"/>
        <v>0.0121551</v>
      </c>
      <c r="M93" s="89"/>
      <c r="N93" s="445"/>
      <c r="O93" s="445"/>
    </row>
    <row r="94" spans="1:15" s="14" customFormat="1" ht="38.25">
      <c r="A94" s="15" t="s">
        <v>83</v>
      </c>
      <c r="B94" s="165">
        <v>38079</v>
      </c>
      <c r="C94" s="21" t="s">
        <v>653</v>
      </c>
      <c r="D94" s="20" t="s">
        <v>536</v>
      </c>
      <c r="E94" s="22" t="s">
        <v>23</v>
      </c>
      <c r="F94" s="17">
        <v>420</v>
      </c>
      <c r="G94" s="148">
        <v>18.05</v>
      </c>
      <c r="H94" s="146">
        <f t="shared" si="18"/>
        <v>5.58</v>
      </c>
      <c r="I94" s="144">
        <f t="shared" si="19"/>
        <v>23.63</v>
      </c>
      <c r="J94" s="147">
        <f t="shared" si="20"/>
        <v>9924.6</v>
      </c>
      <c r="K94" s="306">
        <f t="shared" si="21"/>
        <v>0.0174327</v>
      </c>
      <c r="M94" s="89"/>
      <c r="N94" s="445"/>
      <c r="O94" s="445"/>
    </row>
    <row r="95" spans="1:15" s="14" customFormat="1" ht="25.5">
      <c r="A95" s="15" t="s">
        <v>85</v>
      </c>
      <c r="B95" s="165">
        <v>3278</v>
      </c>
      <c r="C95" s="21" t="s">
        <v>654</v>
      </c>
      <c r="D95" s="20" t="s">
        <v>537</v>
      </c>
      <c r="E95" s="22" t="s">
        <v>29</v>
      </c>
      <c r="F95" s="17">
        <v>50</v>
      </c>
      <c r="G95" s="148">
        <v>57.79</v>
      </c>
      <c r="H95" s="146">
        <f t="shared" si="18"/>
        <v>17.86</v>
      </c>
      <c r="I95" s="144">
        <f t="shared" si="19"/>
        <v>75.65</v>
      </c>
      <c r="J95" s="147">
        <f t="shared" si="20"/>
        <v>3782.5</v>
      </c>
      <c r="K95" s="306">
        <f t="shared" si="21"/>
        <v>0.006644</v>
      </c>
      <c r="M95" s="89"/>
      <c r="N95" s="445"/>
      <c r="O95" s="445"/>
    </row>
    <row r="96" spans="1:15" s="14" customFormat="1" ht="25.5">
      <c r="A96" s="463"/>
      <c r="B96" s="464" t="s">
        <v>711</v>
      </c>
      <c r="C96" s="472" t="s">
        <v>655</v>
      </c>
      <c r="D96" s="473" t="s">
        <v>538</v>
      </c>
      <c r="E96" s="474" t="s">
        <v>29</v>
      </c>
      <c r="F96" s="467">
        <v>60</v>
      </c>
      <c r="G96" s="475">
        <v>5.2</v>
      </c>
      <c r="H96" s="468">
        <f t="shared" si="18"/>
        <v>1.61</v>
      </c>
      <c r="I96" s="469">
        <f t="shared" si="19"/>
        <v>6.81</v>
      </c>
      <c r="J96" s="470">
        <f t="shared" si="20"/>
        <v>408.6</v>
      </c>
      <c r="K96" s="471">
        <f t="shared" si="21"/>
        <v>0.0007177</v>
      </c>
      <c r="M96" s="89"/>
      <c r="N96" s="445"/>
      <c r="O96" s="445"/>
    </row>
    <row r="97" spans="1:15" s="14" customFormat="1" ht="25.5">
      <c r="A97" s="15" t="s">
        <v>83</v>
      </c>
      <c r="B97" s="173">
        <v>180201</v>
      </c>
      <c r="C97" s="21" t="s">
        <v>656</v>
      </c>
      <c r="D97" s="20" t="s">
        <v>539</v>
      </c>
      <c r="E97" s="22" t="s">
        <v>29</v>
      </c>
      <c r="F97" s="17">
        <v>100</v>
      </c>
      <c r="G97" s="148">
        <v>21.51</v>
      </c>
      <c r="H97" s="146">
        <f t="shared" si="18"/>
        <v>6.65</v>
      </c>
      <c r="I97" s="144">
        <f t="shared" si="19"/>
        <v>28.16</v>
      </c>
      <c r="J97" s="147">
        <f t="shared" si="20"/>
        <v>2816</v>
      </c>
      <c r="K97" s="306">
        <f t="shared" si="21"/>
        <v>0.0049463</v>
      </c>
      <c r="M97" s="89"/>
      <c r="N97" s="445"/>
      <c r="O97" s="445"/>
    </row>
    <row r="98" spans="1:15" s="14" customFormat="1" ht="25.5">
      <c r="A98" s="15" t="s">
        <v>83</v>
      </c>
      <c r="B98" s="173">
        <v>180202</v>
      </c>
      <c r="C98" s="21" t="s">
        <v>657</v>
      </c>
      <c r="D98" s="20" t="s">
        <v>581</v>
      </c>
      <c r="E98" s="17" t="s">
        <v>29</v>
      </c>
      <c r="F98" s="17">
        <v>10</v>
      </c>
      <c r="G98" s="148">
        <f>33.18/1.309</f>
        <v>25.35</v>
      </c>
      <c r="H98" s="146">
        <f>G98*$M$4</f>
        <v>7.83</v>
      </c>
      <c r="I98" s="144">
        <f>G98+H98</f>
        <v>33.18</v>
      </c>
      <c r="J98" s="147">
        <f>I98*F98</f>
        <v>331.8</v>
      </c>
      <c r="K98" s="306">
        <f t="shared" si="21"/>
        <v>0.0005828</v>
      </c>
      <c r="M98" s="89"/>
      <c r="N98" s="445"/>
      <c r="O98" s="445"/>
    </row>
    <row r="99" spans="1:15" s="14" customFormat="1" ht="38.25">
      <c r="A99" s="15" t="s">
        <v>85</v>
      </c>
      <c r="B99" s="173">
        <v>92023</v>
      </c>
      <c r="C99" s="21" t="s">
        <v>658</v>
      </c>
      <c r="D99" s="476" t="s">
        <v>582</v>
      </c>
      <c r="E99" s="17" t="s">
        <v>29</v>
      </c>
      <c r="F99" s="17">
        <v>10</v>
      </c>
      <c r="G99" s="148">
        <v>29.48</v>
      </c>
      <c r="H99" s="146">
        <f>G99*$M$4</f>
        <v>9.11</v>
      </c>
      <c r="I99" s="144">
        <f>G99+H99</f>
        <v>38.59</v>
      </c>
      <c r="J99" s="147">
        <f>I99*F99</f>
        <v>385.9</v>
      </c>
      <c r="K99" s="306">
        <f t="shared" si="21"/>
        <v>0.0006778</v>
      </c>
      <c r="M99" s="89"/>
      <c r="N99" s="445"/>
      <c r="O99" s="445"/>
    </row>
    <row r="100" spans="1:15" s="14" customFormat="1" ht="25.5">
      <c r="A100" s="15" t="s">
        <v>83</v>
      </c>
      <c r="B100" s="173">
        <v>180204</v>
      </c>
      <c r="C100" s="21" t="s">
        <v>659</v>
      </c>
      <c r="D100" s="20" t="s">
        <v>583</v>
      </c>
      <c r="E100" s="17" t="s">
        <v>29</v>
      </c>
      <c r="F100" s="17">
        <v>25</v>
      </c>
      <c r="G100" s="148">
        <v>18.6</v>
      </c>
      <c r="H100" s="146">
        <f>G100*$M$4</f>
        <v>5.75</v>
      </c>
      <c r="I100" s="144">
        <f>G100+H100</f>
        <v>24.35</v>
      </c>
      <c r="J100" s="147">
        <f>I100*F100</f>
        <v>608.75</v>
      </c>
      <c r="K100" s="306">
        <f t="shared" si="21"/>
        <v>0.0010693</v>
      </c>
      <c r="M100" s="89"/>
      <c r="N100" s="445"/>
      <c r="O100" s="445"/>
    </row>
    <row r="101" spans="1:15" s="14" customFormat="1" ht="18.75" customHeight="1">
      <c r="A101" s="15" t="s">
        <v>85</v>
      </c>
      <c r="B101" s="173">
        <v>39390</v>
      </c>
      <c r="C101" s="21" t="s">
        <v>660</v>
      </c>
      <c r="D101" s="20" t="s">
        <v>584</v>
      </c>
      <c r="E101" s="17" t="s">
        <v>29</v>
      </c>
      <c r="F101" s="17">
        <v>70</v>
      </c>
      <c r="G101" s="148">
        <v>113</v>
      </c>
      <c r="H101" s="146">
        <f>G101*$M$4</f>
        <v>34.92</v>
      </c>
      <c r="I101" s="144">
        <f>G101+H101</f>
        <v>147.92</v>
      </c>
      <c r="J101" s="147">
        <f>I101*F101</f>
        <v>10354.4</v>
      </c>
      <c r="K101" s="306">
        <f t="shared" si="21"/>
        <v>0.0181876</v>
      </c>
      <c r="M101" s="89"/>
      <c r="N101" s="445"/>
      <c r="O101" s="445"/>
    </row>
    <row r="102" spans="1:15" s="14" customFormat="1" ht="25.5">
      <c r="A102" s="15" t="s">
        <v>83</v>
      </c>
      <c r="B102" s="173">
        <v>180207</v>
      </c>
      <c r="C102" s="21" t="s">
        <v>661</v>
      </c>
      <c r="D102" s="20" t="s">
        <v>585</v>
      </c>
      <c r="E102" s="17" t="s">
        <v>29</v>
      </c>
      <c r="F102" s="17">
        <v>3</v>
      </c>
      <c r="G102" s="148">
        <v>32.39</v>
      </c>
      <c r="H102" s="146">
        <f>G102*$M$4</f>
        <v>10.01</v>
      </c>
      <c r="I102" s="144">
        <f>G102+H102</f>
        <v>42.4</v>
      </c>
      <c r="J102" s="147">
        <f>I102*F102</f>
        <v>127.2</v>
      </c>
      <c r="K102" s="306">
        <f t="shared" si="21"/>
        <v>0.0002234</v>
      </c>
      <c r="M102" s="89"/>
      <c r="N102" s="445"/>
      <c r="O102" s="445"/>
    </row>
    <row r="103" spans="1:15" s="14" customFormat="1" ht="38.25">
      <c r="A103" s="15" t="s">
        <v>85</v>
      </c>
      <c r="B103" s="173">
        <v>38775</v>
      </c>
      <c r="C103" s="21" t="s">
        <v>662</v>
      </c>
      <c r="D103" s="20" t="s">
        <v>129</v>
      </c>
      <c r="E103" s="17" t="s">
        <v>29</v>
      </c>
      <c r="F103" s="17">
        <v>4</v>
      </c>
      <c r="G103" s="148">
        <v>35.19</v>
      </c>
      <c r="H103" s="146">
        <f t="shared" si="18"/>
        <v>10.87</v>
      </c>
      <c r="I103" s="144">
        <f t="shared" si="19"/>
        <v>46.06</v>
      </c>
      <c r="J103" s="147">
        <f t="shared" si="20"/>
        <v>184.24</v>
      </c>
      <c r="K103" s="306">
        <f t="shared" si="21"/>
        <v>0.0003236</v>
      </c>
      <c r="M103" s="89"/>
      <c r="N103" s="445"/>
      <c r="O103" s="445"/>
    </row>
    <row r="104" spans="1:15" s="14" customFormat="1" ht="25.5">
      <c r="A104" s="15" t="s">
        <v>83</v>
      </c>
      <c r="B104" s="173">
        <v>150964</v>
      </c>
      <c r="C104" s="21" t="s">
        <v>663</v>
      </c>
      <c r="D104" s="8" t="s">
        <v>130</v>
      </c>
      <c r="E104" s="17" t="s">
        <v>29</v>
      </c>
      <c r="F104" s="17">
        <v>2</v>
      </c>
      <c r="G104" s="148">
        <v>7.99</v>
      </c>
      <c r="H104" s="146">
        <f t="shared" si="18"/>
        <v>2.47</v>
      </c>
      <c r="I104" s="144">
        <f t="shared" si="19"/>
        <v>10.46</v>
      </c>
      <c r="J104" s="147">
        <f t="shared" si="20"/>
        <v>20.92</v>
      </c>
      <c r="K104" s="306">
        <f t="shared" si="21"/>
        <v>3.67E-05</v>
      </c>
      <c r="M104" s="89"/>
      <c r="N104" s="445"/>
      <c r="O104" s="445"/>
    </row>
    <row r="105" spans="1:15" s="14" customFormat="1" ht="21" customHeight="1">
      <c r="A105" s="15" t="s">
        <v>85</v>
      </c>
      <c r="B105" s="173">
        <v>3751</v>
      </c>
      <c r="C105" s="21" t="s">
        <v>664</v>
      </c>
      <c r="D105" s="8" t="s">
        <v>131</v>
      </c>
      <c r="E105" s="17" t="s">
        <v>29</v>
      </c>
      <c r="F105" s="17">
        <v>9</v>
      </c>
      <c r="G105" s="148">
        <v>38</v>
      </c>
      <c r="H105" s="146">
        <f t="shared" si="18"/>
        <v>11.74</v>
      </c>
      <c r="I105" s="144">
        <f t="shared" si="19"/>
        <v>49.74</v>
      </c>
      <c r="J105" s="147">
        <f t="shared" si="20"/>
        <v>447.66</v>
      </c>
      <c r="K105" s="306">
        <f t="shared" si="21"/>
        <v>0.0007863</v>
      </c>
      <c r="M105" s="89"/>
      <c r="N105" s="445"/>
      <c r="O105" s="445"/>
    </row>
    <row r="106" spans="1:15" s="14" customFormat="1" ht="25.5">
      <c r="A106" s="15" t="s">
        <v>85</v>
      </c>
      <c r="B106" s="173">
        <v>39374</v>
      </c>
      <c r="C106" s="21" t="s">
        <v>665</v>
      </c>
      <c r="D106" s="8" t="s">
        <v>132</v>
      </c>
      <c r="E106" s="17" t="s">
        <v>29</v>
      </c>
      <c r="F106" s="17">
        <v>9</v>
      </c>
      <c r="G106" s="148">
        <v>95.76</v>
      </c>
      <c r="H106" s="146">
        <f t="shared" si="18"/>
        <v>29.59</v>
      </c>
      <c r="I106" s="144">
        <f t="shared" si="19"/>
        <v>125.35</v>
      </c>
      <c r="J106" s="147">
        <f t="shared" si="20"/>
        <v>1128.15</v>
      </c>
      <c r="K106" s="306">
        <f t="shared" si="21"/>
        <v>0.0019816</v>
      </c>
      <c r="M106" s="89"/>
      <c r="N106" s="445"/>
      <c r="O106" s="445"/>
    </row>
    <row r="107" spans="1:15" s="14" customFormat="1" ht="51">
      <c r="A107" s="15" t="s">
        <v>83</v>
      </c>
      <c r="B107" s="173">
        <v>151429</v>
      </c>
      <c r="C107" s="21" t="s">
        <v>666</v>
      </c>
      <c r="D107" s="8" t="s">
        <v>586</v>
      </c>
      <c r="E107" s="17" t="s">
        <v>23</v>
      </c>
      <c r="F107" s="17">
        <v>130</v>
      </c>
      <c r="G107" s="148">
        <f>52.87/1.309</f>
        <v>40.39</v>
      </c>
      <c r="H107" s="146">
        <f>G107*$M$4</f>
        <v>12.48</v>
      </c>
      <c r="I107" s="144">
        <f>G107+H107</f>
        <v>52.87</v>
      </c>
      <c r="J107" s="147">
        <f>I107*F107</f>
        <v>6873.1</v>
      </c>
      <c r="K107" s="306">
        <f t="shared" si="21"/>
        <v>0.0120727</v>
      </c>
      <c r="M107" s="89"/>
      <c r="N107" s="445"/>
      <c r="O107" s="445"/>
    </row>
    <row r="108" spans="1:15" s="14" customFormat="1" ht="51">
      <c r="A108" s="15" t="s">
        <v>83</v>
      </c>
      <c r="B108" s="173">
        <v>151406</v>
      </c>
      <c r="C108" s="21" t="s">
        <v>667</v>
      </c>
      <c r="D108" s="8" t="s">
        <v>587</v>
      </c>
      <c r="E108" s="17" t="s">
        <v>23</v>
      </c>
      <c r="F108" s="17">
        <v>50</v>
      </c>
      <c r="G108" s="148">
        <v>11.02</v>
      </c>
      <c r="H108" s="146">
        <f>G108*$M$4</f>
        <v>3.41</v>
      </c>
      <c r="I108" s="144">
        <f>G108+H108</f>
        <v>14.43</v>
      </c>
      <c r="J108" s="147">
        <f>I108*F108</f>
        <v>721.5</v>
      </c>
      <c r="K108" s="306">
        <f t="shared" si="21"/>
        <v>0.0012673</v>
      </c>
      <c r="M108" s="89"/>
      <c r="N108" s="445"/>
      <c r="O108" s="445"/>
    </row>
    <row r="109" spans="1:15" s="14" customFormat="1" ht="39" thickBot="1">
      <c r="A109" s="15" t="s">
        <v>83</v>
      </c>
      <c r="B109" s="165">
        <v>160311</v>
      </c>
      <c r="C109" s="21" t="s">
        <v>668</v>
      </c>
      <c r="D109" s="8" t="s">
        <v>133</v>
      </c>
      <c r="E109" s="17" t="s">
        <v>29</v>
      </c>
      <c r="F109" s="17">
        <v>3</v>
      </c>
      <c r="G109" s="148">
        <v>87.69</v>
      </c>
      <c r="H109" s="146">
        <f t="shared" si="18"/>
        <v>27.1</v>
      </c>
      <c r="I109" s="144">
        <f t="shared" si="19"/>
        <v>114.79</v>
      </c>
      <c r="J109" s="147">
        <f t="shared" si="20"/>
        <v>344.37</v>
      </c>
      <c r="K109" s="306">
        <f t="shared" si="21"/>
        <v>0.0006049</v>
      </c>
      <c r="M109" s="89"/>
      <c r="N109" s="445"/>
      <c r="O109" s="2"/>
    </row>
    <row r="110" spans="1:14" ht="21" customHeight="1" thickBot="1">
      <c r="A110" s="123"/>
      <c r="B110" s="171"/>
      <c r="C110" s="124"/>
      <c r="D110" s="125" t="s">
        <v>125</v>
      </c>
      <c r="E110" s="126"/>
      <c r="F110" s="140"/>
      <c r="G110" s="150"/>
      <c r="H110" s="150"/>
      <c r="I110" s="150"/>
      <c r="J110" s="151">
        <f>SUM(J83:J109)</f>
        <v>81632.41</v>
      </c>
      <c r="K110" s="307">
        <f>J110/$J$169</f>
        <v>0.1433883</v>
      </c>
      <c r="N110" s="443"/>
    </row>
    <row r="111" spans="1:15" s="14" customFormat="1" ht="21" customHeight="1">
      <c r="A111" s="10"/>
      <c r="B111" s="174"/>
      <c r="C111" s="399" t="s">
        <v>72</v>
      </c>
      <c r="D111" s="12" t="s">
        <v>588</v>
      </c>
      <c r="E111" s="400"/>
      <c r="F111" s="18"/>
      <c r="G111" s="149"/>
      <c r="H111" s="149"/>
      <c r="I111" s="149"/>
      <c r="J111" s="149"/>
      <c r="K111" s="310"/>
      <c r="M111" s="156"/>
      <c r="N111" s="2"/>
      <c r="O111" s="2"/>
    </row>
    <row r="112" spans="1:15" s="14" customFormat="1" ht="21" customHeight="1">
      <c r="A112" s="184" t="s">
        <v>83</v>
      </c>
      <c r="B112" s="173">
        <v>160808</v>
      </c>
      <c r="C112" s="21" t="s">
        <v>155</v>
      </c>
      <c r="D112" s="8" t="s">
        <v>589</v>
      </c>
      <c r="E112" s="22" t="s">
        <v>29</v>
      </c>
      <c r="F112" s="17">
        <v>1000</v>
      </c>
      <c r="G112" s="148">
        <v>5.26</v>
      </c>
      <c r="H112" s="146">
        <f aca="true" t="shared" si="22" ref="H112:H117">G112*$M$4</f>
        <v>1.63</v>
      </c>
      <c r="I112" s="144">
        <f aca="true" t="shared" si="23" ref="I112:I117">G112+H112</f>
        <v>6.89</v>
      </c>
      <c r="J112" s="147">
        <f aca="true" t="shared" si="24" ref="J112:J117">I112*F112</f>
        <v>6890</v>
      </c>
      <c r="K112" s="306">
        <f aca="true" t="shared" si="25" ref="K112:K117">J112/$J$169</f>
        <v>0.0121024</v>
      </c>
      <c r="M112" s="89"/>
      <c r="N112" s="2"/>
      <c r="O112" s="2"/>
    </row>
    <row r="113" spans="1:15" s="14" customFormat="1" ht="21" customHeight="1">
      <c r="A113" s="184" t="s">
        <v>83</v>
      </c>
      <c r="B113" s="173">
        <v>160807</v>
      </c>
      <c r="C113" s="21" t="s">
        <v>156</v>
      </c>
      <c r="D113" s="8" t="s">
        <v>590</v>
      </c>
      <c r="E113" s="22" t="s">
        <v>29</v>
      </c>
      <c r="F113" s="17">
        <v>60</v>
      </c>
      <c r="G113" s="148">
        <v>7.97</v>
      </c>
      <c r="H113" s="146">
        <f t="shared" si="22"/>
        <v>2.46</v>
      </c>
      <c r="I113" s="144">
        <f t="shared" si="23"/>
        <v>10.43</v>
      </c>
      <c r="J113" s="147">
        <f t="shared" si="24"/>
        <v>625.8</v>
      </c>
      <c r="K113" s="306">
        <f t="shared" si="25"/>
        <v>0.0010992</v>
      </c>
      <c r="M113" s="89"/>
      <c r="N113" s="2"/>
      <c r="O113" s="2"/>
    </row>
    <row r="114" spans="1:15" s="14" customFormat="1" ht="25.5">
      <c r="A114" s="184"/>
      <c r="B114" s="173" t="s">
        <v>711</v>
      </c>
      <c r="C114" s="21" t="s">
        <v>157</v>
      </c>
      <c r="D114" s="8" t="s">
        <v>591</v>
      </c>
      <c r="E114" s="22" t="s">
        <v>29</v>
      </c>
      <c r="F114" s="17">
        <v>40</v>
      </c>
      <c r="G114" s="148">
        <v>14.03</v>
      </c>
      <c r="H114" s="146">
        <f t="shared" si="22"/>
        <v>4.34</v>
      </c>
      <c r="I114" s="144">
        <f t="shared" si="23"/>
        <v>18.37</v>
      </c>
      <c r="J114" s="147">
        <f t="shared" si="24"/>
        <v>734.8</v>
      </c>
      <c r="K114" s="306">
        <f t="shared" si="25"/>
        <v>0.0012907</v>
      </c>
      <c r="M114" s="89"/>
      <c r="N114" s="2"/>
      <c r="O114" s="2"/>
    </row>
    <row r="115" spans="1:15" s="14" customFormat="1" ht="21" customHeight="1">
      <c r="A115" s="15"/>
      <c r="B115" s="173" t="s">
        <v>711</v>
      </c>
      <c r="C115" s="21" t="s">
        <v>158</v>
      </c>
      <c r="D115" s="8" t="s">
        <v>592</v>
      </c>
      <c r="E115" s="22" t="s">
        <v>29</v>
      </c>
      <c r="F115" s="17">
        <v>100</v>
      </c>
      <c r="G115" s="146">
        <v>37.5</v>
      </c>
      <c r="H115" s="146">
        <f t="shared" si="22"/>
        <v>11.59</v>
      </c>
      <c r="I115" s="144">
        <f t="shared" si="23"/>
        <v>49.09</v>
      </c>
      <c r="J115" s="147">
        <f t="shared" si="24"/>
        <v>4909</v>
      </c>
      <c r="K115" s="306">
        <f t="shared" si="25"/>
        <v>0.0086227</v>
      </c>
      <c r="M115" s="300"/>
      <c r="N115" s="2"/>
      <c r="O115" s="2"/>
    </row>
    <row r="116" spans="1:15" s="14" customFormat="1" ht="21" customHeight="1">
      <c r="A116" s="184"/>
      <c r="B116" s="173" t="s">
        <v>711</v>
      </c>
      <c r="C116" s="21" t="s">
        <v>159</v>
      </c>
      <c r="D116" s="8" t="s">
        <v>593</v>
      </c>
      <c r="E116" s="22" t="s">
        <v>29</v>
      </c>
      <c r="F116" s="17">
        <v>2</v>
      </c>
      <c r="G116" s="146">
        <v>1219</v>
      </c>
      <c r="H116" s="146">
        <f t="shared" si="22"/>
        <v>376.67</v>
      </c>
      <c r="I116" s="144">
        <f t="shared" si="23"/>
        <v>1595.67</v>
      </c>
      <c r="J116" s="147">
        <f t="shared" si="24"/>
        <v>3191.34</v>
      </c>
      <c r="K116" s="306">
        <f t="shared" si="25"/>
        <v>0.0056056</v>
      </c>
      <c r="M116" s="300"/>
      <c r="N116" s="2"/>
      <c r="O116" s="2"/>
    </row>
    <row r="117" spans="1:15" s="14" customFormat="1" ht="21" customHeight="1" thickBot="1">
      <c r="A117" s="184"/>
      <c r="B117" s="173" t="s">
        <v>711</v>
      </c>
      <c r="C117" s="21" t="s">
        <v>160</v>
      </c>
      <c r="D117" s="8" t="s">
        <v>594</v>
      </c>
      <c r="E117" s="477" t="s">
        <v>29</v>
      </c>
      <c r="F117" s="17">
        <v>50</v>
      </c>
      <c r="G117" s="146">
        <v>29.51</v>
      </c>
      <c r="H117" s="146">
        <f t="shared" si="22"/>
        <v>9.12</v>
      </c>
      <c r="I117" s="144">
        <f t="shared" si="23"/>
        <v>38.63</v>
      </c>
      <c r="J117" s="147">
        <f t="shared" si="24"/>
        <v>1931.5</v>
      </c>
      <c r="K117" s="306">
        <f t="shared" si="25"/>
        <v>0.0033927</v>
      </c>
      <c r="M117" s="300"/>
      <c r="N117" s="2"/>
      <c r="O117" s="2"/>
    </row>
    <row r="118" spans="1:14" ht="21" customHeight="1" thickBot="1">
      <c r="A118" s="123"/>
      <c r="B118" s="171"/>
      <c r="C118" s="124"/>
      <c r="D118" s="125" t="s">
        <v>127</v>
      </c>
      <c r="E118" s="126"/>
      <c r="F118" s="140"/>
      <c r="G118" s="150"/>
      <c r="H118" s="150"/>
      <c r="I118" s="150"/>
      <c r="J118" s="151">
        <f>SUM(J112:J117)</f>
        <v>18282.44</v>
      </c>
      <c r="K118" s="307">
        <f>J118/$J$169</f>
        <v>0.0321133</v>
      </c>
      <c r="N118" s="443"/>
    </row>
    <row r="119" spans="1:15" s="14" customFormat="1" ht="21" customHeight="1">
      <c r="A119" s="10"/>
      <c r="B119" s="174"/>
      <c r="C119" s="11" t="s">
        <v>73</v>
      </c>
      <c r="D119" s="12" t="s">
        <v>126</v>
      </c>
      <c r="E119" s="18"/>
      <c r="F119" s="18"/>
      <c r="G119" s="149"/>
      <c r="H119" s="149"/>
      <c r="I119" s="149"/>
      <c r="J119" s="149"/>
      <c r="K119" s="310"/>
      <c r="M119" s="89"/>
      <c r="N119" s="2"/>
      <c r="O119" s="2"/>
    </row>
    <row r="120" spans="1:15" s="14" customFormat="1" ht="21" customHeight="1">
      <c r="A120" s="10"/>
      <c r="B120" s="174"/>
      <c r="C120" s="11" t="s">
        <v>313</v>
      </c>
      <c r="D120" s="12" t="s">
        <v>198</v>
      </c>
      <c r="E120" s="18"/>
      <c r="F120" s="18"/>
      <c r="G120" s="149"/>
      <c r="H120" s="149"/>
      <c r="I120" s="149"/>
      <c r="J120" s="149"/>
      <c r="K120" s="310"/>
      <c r="M120" s="89"/>
      <c r="N120" s="2"/>
      <c r="O120" s="2"/>
    </row>
    <row r="121" spans="1:15" s="14" customFormat="1" ht="51">
      <c r="A121" s="15" t="s">
        <v>83</v>
      </c>
      <c r="B121" s="173">
        <v>140701</v>
      </c>
      <c r="C121" s="16" t="s">
        <v>669</v>
      </c>
      <c r="D121" s="8" t="s">
        <v>194</v>
      </c>
      <c r="E121" s="17" t="s">
        <v>109</v>
      </c>
      <c r="F121" s="17">
        <v>19</v>
      </c>
      <c r="G121" s="146">
        <v>62.46</v>
      </c>
      <c r="H121" s="146">
        <f aca="true" t="shared" si="26" ref="H121:H126">G121*$M$4</f>
        <v>19.3</v>
      </c>
      <c r="I121" s="144">
        <f aca="true" t="shared" si="27" ref="I121:I126">G121+H121</f>
        <v>81.76</v>
      </c>
      <c r="J121" s="147">
        <f aca="true" t="shared" si="28" ref="J121:J126">I121*F121</f>
        <v>1553.44</v>
      </c>
      <c r="K121" s="306">
        <f aca="true" t="shared" si="29" ref="K121:K131">J121/$J$169</f>
        <v>0.0027286</v>
      </c>
      <c r="M121" s="300"/>
      <c r="N121" s="2"/>
      <c r="O121" s="2"/>
    </row>
    <row r="122" spans="1:15" s="14" customFormat="1" ht="38.25" customHeight="1">
      <c r="A122" s="15" t="s">
        <v>83</v>
      </c>
      <c r="B122" s="173">
        <v>170550</v>
      </c>
      <c r="C122" s="16" t="s">
        <v>670</v>
      </c>
      <c r="D122" s="8" t="s">
        <v>576</v>
      </c>
      <c r="E122" s="17" t="s">
        <v>109</v>
      </c>
      <c r="F122" s="17">
        <v>2</v>
      </c>
      <c r="G122" s="146">
        <v>951</v>
      </c>
      <c r="H122" s="146">
        <f t="shared" si="26"/>
        <v>293.86</v>
      </c>
      <c r="I122" s="144">
        <f t="shared" si="27"/>
        <v>1244.86</v>
      </c>
      <c r="J122" s="147">
        <f t="shared" si="28"/>
        <v>2489.72</v>
      </c>
      <c r="K122" s="306">
        <f t="shared" si="29"/>
        <v>0.0043732</v>
      </c>
      <c r="M122" s="300"/>
      <c r="N122" s="2"/>
      <c r="O122" s="2"/>
    </row>
    <row r="123" spans="1:15" s="14" customFormat="1" ht="21" customHeight="1">
      <c r="A123" s="15" t="s">
        <v>83</v>
      </c>
      <c r="B123" s="173">
        <v>142123</v>
      </c>
      <c r="C123" s="16" t="s">
        <v>671</v>
      </c>
      <c r="D123" s="8" t="s">
        <v>578</v>
      </c>
      <c r="E123" s="17" t="s">
        <v>109</v>
      </c>
      <c r="F123" s="17">
        <v>1</v>
      </c>
      <c r="G123" s="146">
        <v>10.3</v>
      </c>
      <c r="H123" s="146">
        <f t="shared" si="26"/>
        <v>3.18</v>
      </c>
      <c r="I123" s="144">
        <f t="shared" si="27"/>
        <v>13.48</v>
      </c>
      <c r="J123" s="147">
        <f t="shared" si="28"/>
        <v>13.48</v>
      </c>
      <c r="K123" s="306">
        <f t="shared" si="29"/>
        <v>2.37E-05</v>
      </c>
      <c r="M123" s="300"/>
      <c r="N123" s="2"/>
      <c r="O123" s="2"/>
    </row>
    <row r="124" spans="1:15" s="14" customFormat="1" ht="21" customHeight="1">
      <c r="A124" s="15" t="s">
        <v>83</v>
      </c>
      <c r="B124" s="173">
        <v>142124</v>
      </c>
      <c r="C124" s="16" t="s">
        <v>672</v>
      </c>
      <c r="D124" s="8" t="s">
        <v>202</v>
      </c>
      <c r="E124" s="17" t="s">
        <v>109</v>
      </c>
      <c r="F124" s="17">
        <v>22</v>
      </c>
      <c r="G124" s="146">
        <v>12.26</v>
      </c>
      <c r="H124" s="146">
        <f t="shared" si="26"/>
        <v>3.79</v>
      </c>
      <c r="I124" s="144">
        <f t="shared" si="27"/>
        <v>16.05</v>
      </c>
      <c r="J124" s="147">
        <f t="shared" si="28"/>
        <v>353.1</v>
      </c>
      <c r="K124" s="306">
        <f t="shared" si="29"/>
        <v>0.0006202</v>
      </c>
      <c r="M124" s="300"/>
      <c r="N124" s="2"/>
      <c r="O124" s="2"/>
    </row>
    <row r="125" spans="1:15" s="14" customFormat="1" ht="21" customHeight="1">
      <c r="A125" s="15" t="s">
        <v>83</v>
      </c>
      <c r="B125" s="173">
        <v>142120</v>
      </c>
      <c r="C125" s="16" t="s">
        <v>673</v>
      </c>
      <c r="D125" s="8" t="s">
        <v>203</v>
      </c>
      <c r="E125" s="17" t="s">
        <v>109</v>
      </c>
      <c r="F125" s="17">
        <v>2</v>
      </c>
      <c r="G125" s="146">
        <v>75.39</v>
      </c>
      <c r="H125" s="146">
        <f t="shared" si="26"/>
        <v>23.3</v>
      </c>
      <c r="I125" s="144">
        <f t="shared" si="27"/>
        <v>98.69</v>
      </c>
      <c r="J125" s="147">
        <f t="shared" si="28"/>
        <v>197.38</v>
      </c>
      <c r="K125" s="306">
        <f t="shared" si="29"/>
        <v>0.0003467</v>
      </c>
      <c r="M125" s="300"/>
      <c r="N125" s="2"/>
      <c r="O125" s="2"/>
    </row>
    <row r="126" spans="1:15" s="14" customFormat="1" ht="28.5" customHeight="1">
      <c r="A126" s="15" t="s">
        <v>83</v>
      </c>
      <c r="B126" s="173">
        <v>140702</v>
      </c>
      <c r="C126" s="16" t="s">
        <v>674</v>
      </c>
      <c r="D126" s="8" t="s">
        <v>579</v>
      </c>
      <c r="E126" s="17" t="s">
        <v>109</v>
      </c>
      <c r="F126" s="17">
        <v>4</v>
      </c>
      <c r="G126" s="146">
        <v>115.3</v>
      </c>
      <c r="H126" s="146">
        <f t="shared" si="26"/>
        <v>35.63</v>
      </c>
      <c r="I126" s="144">
        <f t="shared" si="27"/>
        <v>150.93</v>
      </c>
      <c r="J126" s="147">
        <f t="shared" si="28"/>
        <v>603.72</v>
      </c>
      <c r="K126" s="306">
        <f t="shared" si="29"/>
        <v>0.0010604</v>
      </c>
      <c r="M126" s="300"/>
      <c r="N126" s="2"/>
      <c r="O126" s="2"/>
    </row>
    <row r="127" spans="1:15" s="14" customFormat="1" ht="21" customHeight="1">
      <c r="A127" s="10"/>
      <c r="B127" s="174"/>
      <c r="C127" s="11" t="s">
        <v>314</v>
      </c>
      <c r="D127" s="12" t="s">
        <v>199</v>
      </c>
      <c r="E127" s="8"/>
      <c r="F127" s="17"/>
      <c r="G127" s="148"/>
      <c r="H127" s="148"/>
      <c r="I127" s="148"/>
      <c r="J127" s="148"/>
      <c r="K127" s="306">
        <f t="shared" si="29"/>
        <v>0</v>
      </c>
      <c r="M127" s="300"/>
      <c r="N127" s="2"/>
      <c r="O127" s="2"/>
    </row>
    <row r="128" spans="1:15" s="14" customFormat="1" ht="25.5">
      <c r="A128" s="15" t="s">
        <v>83</v>
      </c>
      <c r="B128" s="173">
        <v>140705</v>
      </c>
      <c r="C128" s="16" t="s">
        <v>675</v>
      </c>
      <c r="D128" s="8" t="s">
        <v>195</v>
      </c>
      <c r="E128" s="17" t="s">
        <v>109</v>
      </c>
      <c r="F128" s="17">
        <v>19</v>
      </c>
      <c r="G128" s="146">
        <v>75.7</v>
      </c>
      <c r="H128" s="146">
        <f>G128*$M$4</f>
        <v>23.39</v>
      </c>
      <c r="I128" s="144">
        <f>G128+H128</f>
        <v>99.09</v>
      </c>
      <c r="J128" s="147">
        <f>I128*F128</f>
        <v>1882.71</v>
      </c>
      <c r="K128" s="306">
        <f t="shared" si="29"/>
        <v>0.003307</v>
      </c>
      <c r="M128" s="300"/>
      <c r="N128" s="2"/>
      <c r="O128" s="2"/>
    </row>
    <row r="129" spans="1:15" s="14" customFormat="1" ht="21" customHeight="1">
      <c r="A129" s="463" t="s">
        <v>85</v>
      </c>
      <c r="B129" s="464">
        <v>98110</v>
      </c>
      <c r="C129" s="465" t="s">
        <v>676</v>
      </c>
      <c r="D129" s="466" t="s">
        <v>196</v>
      </c>
      <c r="E129" s="467" t="s">
        <v>109</v>
      </c>
      <c r="F129" s="467">
        <v>8</v>
      </c>
      <c r="G129" s="468">
        <v>291.19</v>
      </c>
      <c r="H129" s="468">
        <f>G129*$M$4</f>
        <v>89.98</v>
      </c>
      <c r="I129" s="469">
        <f>G129+H129</f>
        <v>381.17</v>
      </c>
      <c r="J129" s="470">
        <f>I129*F129</f>
        <v>3049.36</v>
      </c>
      <c r="K129" s="471">
        <f t="shared" si="29"/>
        <v>0.0053562</v>
      </c>
      <c r="M129" s="300"/>
      <c r="N129" s="2"/>
      <c r="O129" s="2"/>
    </row>
    <row r="130" spans="1:15" s="14" customFormat="1" ht="25.5">
      <c r="A130" s="15" t="s">
        <v>83</v>
      </c>
      <c r="B130" s="173">
        <v>140708</v>
      </c>
      <c r="C130" s="16" t="s">
        <v>677</v>
      </c>
      <c r="D130" s="8" t="s">
        <v>200</v>
      </c>
      <c r="E130" s="17" t="s">
        <v>109</v>
      </c>
      <c r="F130" s="17">
        <v>8</v>
      </c>
      <c r="G130" s="146">
        <v>55.15</v>
      </c>
      <c r="H130" s="146">
        <f>G130*$M$4</f>
        <v>17.04</v>
      </c>
      <c r="I130" s="144">
        <f>G130+H130</f>
        <v>72.19</v>
      </c>
      <c r="J130" s="147">
        <f>I130*F130</f>
        <v>577.52</v>
      </c>
      <c r="K130" s="306">
        <f t="shared" si="29"/>
        <v>0.0010144</v>
      </c>
      <c r="M130" s="300"/>
      <c r="N130" s="2"/>
      <c r="O130" s="2"/>
    </row>
    <row r="131" spans="1:15" s="14" customFormat="1" ht="64.5" thickBot="1">
      <c r="A131" s="463" t="s">
        <v>83</v>
      </c>
      <c r="B131" s="464">
        <v>141104</v>
      </c>
      <c r="C131" s="465" t="s">
        <v>678</v>
      </c>
      <c r="D131" s="466" t="s">
        <v>197</v>
      </c>
      <c r="E131" s="467" t="s">
        <v>109</v>
      </c>
      <c r="F131" s="467">
        <v>2</v>
      </c>
      <c r="G131" s="468">
        <v>375.3</v>
      </c>
      <c r="H131" s="468">
        <f>G131*$M$4</f>
        <v>115.97</v>
      </c>
      <c r="I131" s="469">
        <f>G131+H131</f>
        <v>491.27</v>
      </c>
      <c r="J131" s="470">
        <f>I131*F131</f>
        <v>982.54</v>
      </c>
      <c r="K131" s="471">
        <f t="shared" si="29"/>
        <v>0.0017258</v>
      </c>
      <c r="M131" s="300"/>
      <c r="N131" s="2"/>
      <c r="O131" s="2"/>
    </row>
    <row r="132" spans="1:13" ht="21" customHeight="1" thickBot="1">
      <c r="A132" s="123"/>
      <c r="B132" s="171"/>
      <c r="C132" s="124"/>
      <c r="D132" s="125" t="s">
        <v>189</v>
      </c>
      <c r="E132" s="126"/>
      <c r="F132" s="140"/>
      <c r="G132" s="150"/>
      <c r="H132" s="150"/>
      <c r="I132" s="150"/>
      <c r="J132" s="151">
        <f>SUM(J121:J131)</f>
        <v>11702.97</v>
      </c>
      <c r="K132" s="307">
        <f>J132/$J$169</f>
        <v>0.0205564</v>
      </c>
      <c r="M132" s="300"/>
    </row>
    <row r="133" spans="1:15" s="14" customFormat="1" ht="21" customHeight="1">
      <c r="A133" s="120"/>
      <c r="B133" s="172"/>
      <c r="C133" s="121" t="s">
        <v>74</v>
      </c>
      <c r="D133" s="5" t="s">
        <v>134</v>
      </c>
      <c r="E133" s="122"/>
      <c r="F133" s="122"/>
      <c r="G133" s="152"/>
      <c r="H133" s="152"/>
      <c r="I133" s="152"/>
      <c r="J133" s="152"/>
      <c r="K133" s="308"/>
      <c r="M133" s="301"/>
      <c r="N133" s="2"/>
      <c r="O133" s="2"/>
    </row>
    <row r="134" spans="1:15" s="14" customFormat="1" ht="21" customHeight="1">
      <c r="A134" s="10"/>
      <c r="B134" s="174"/>
      <c r="C134" s="11" t="s">
        <v>359</v>
      </c>
      <c r="D134" s="12" t="s">
        <v>190</v>
      </c>
      <c r="E134" s="18"/>
      <c r="F134" s="18"/>
      <c r="G134" s="149"/>
      <c r="H134" s="149"/>
      <c r="I134" s="149"/>
      <c r="J134" s="149"/>
      <c r="K134" s="310"/>
      <c r="M134" s="301"/>
      <c r="N134" s="2"/>
      <c r="O134" s="2"/>
    </row>
    <row r="135" spans="1:15" s="14" customFormat="1" ht="25.5">
      <c r="A135" s="15" t="s">
        <v>83</v>
      </c>
      <c r="B135" s="173">
        <v>160607</v>
      </c>
      <c r="C135" s="16" t="s">
        <v>679</v>
      </c>
      <c r="D135" s="8" t="s">
        <v>321</v>
      </c>
      <c r="E135" s="17" t="s">
        <v>109</v>
      </c>
      <c r="F135" s="17">
        <v>8</v>
      </c>
      <c r="G135" s="146">
        <v>149.27</v>
      </c>
      <c r="H135" s="146">
        <f>G135*$M$4</f>
        <v>46.12</v>
      </c>
      <c r="I135" s="144">
        <f>G135+H135</f>
        <v>195.39</v>
      </c>
      <c r="J135" s="147">
        <f>I135*F135</f>
        <v>1563.12</v>
      </c>
      <c r="K135" s="306">
        <f>J135/$J$169</f>
        <v>0.0027456</v>
      </c>
      <c r="M135" s="300"/>
      <c r="N135" s="2"/>
      <c r="O135" s="2"/>
    </row>
    <row r="136" spans="1:15" s="14" customFormat="1" ht="21" customHeight="1">
      <c r="A136" s="15"/>
      <c r="B136" s="173"/>
      <c r="C136" s="11" t="s">
        <v>360</v>
      </c>
      <c r="D136" s="12" t="s">
        <v>191</v>
      </c>
      <c r="E136" s="17"/>
      <c r="F136" s="17"/>
      <c r="G136" s="148"/>
      <c r="H136" s="148"/>
      <c r="I136" s="148"/>
      <c r="J136" s="148"/>
      <c r="K136" s="309"/>
      <c r="M136" s="300"/>
      <c r="N136" s="2"/>
      <c r="O136" s="2"/>
    </row>
    <row r="137" spans="1:15" s="14" customFormat="1" ht="19.5" customHeight="1">
      <c r="A137" s="15" t="s">
        <v>83</v>
      </c>
      <c r="B137" s="173">
        <v>160612</v>
      </c>
      <c r="C137" s="16" t="s">
        <v>361</v>
      </c>
      <c r="D137" s="8" t="s">
        <v>558</v>
      </c>
      <c r="E137" s="17" t="s">
        <v>109</v>
      </c>
      <c r="F137" s="17">
        <v>26</v>
      </c>
      <c r="G137" s="146">
        <v>23.16</v>
      </c>
      <c r="H137" s="146">
        <f>G137*$M$4</f>
        <v>7.16</v>
      </c>
      <c r="I137" s="144">
        <f>G137+H137</f>
        <v>30.32</v>
      </c>
      <c r="J137" s="147">
        <f>I137*F137</f>
        <v>788.32</v>
      </c>
      <c r="K137" s="306">
        <f>J137/$J$169</f>
        <v>0.0013847</v>
      </c>
      <c r="M137" s="300"/>
      <c r="N137" s="2"/>
      <c r="O137" s="2"/>
    </row>
    <row r="138" spans="1:15" s="14" customFormat="1" ht="26.25" thickBot="1">
      <c r="A138" s="15" t="s">
        <v>85</v>
      </c>
      <c r="B138" s="173">
        <v>97599</v>
      </c>
      <c r="C138" s="16" t="s">
        <v>362</v>
      </c>
      <c r="D138" s="8" t="s">
        <v>188</v>
      </c>
      <c r="E138" s="17" t="s">
        <v>109</v>
      </c>
      <c r="F138" s="17">
        <v>12</v>
      </c>
      <c r="G138" s="148">
        <v>33.52</v>
      </c>
      <c r="H138" s="146">
        <f>G138*$M$4</f>
        <v>10.36</v>
      </c>
      <c r="I138" s="144">
        <f>G138+H138</f>
        <v>43.88</v>
      </c>
      <c r="J138" s="147">
        <f>I138*F138</f>
        <v>526.56</v>
      </c>
      <c r="K138" s="306">
        <f>J138/$J$169</f>
        <v>0.0009249</v>
      </c>
      <c r="M138" s="156"/>
      <c r="N138" s="2"/>
      <c r="O138" s="2"/>
    </row>
    <row r="139" spans="1:13" ht="21" customHeight="1" thickBot="1">
      <c r="A139" s="123"/>
      <c r="B139" s="171"/>
      <c r="C139" s="124"/>
      <c r="D139" s="125" t="s">
        <v>135</v>
      </c>
      <c r="E139" s="126"/>
      <c r="F139" s="140"/>
      <c r="G139" s="150"/>
      <c r="H139" s="150"/>
      <c r="I139" s="150"/>
      <c r="J139" s="151">
        <f>SUM(J135:J138)</f>
        <v>2878</v>
      </c>
      <c r="K139" s="307">
        <f>J139/$J$169</f>
        <v>0.0050552</v>
      </c>
      <c r="M139" s="300"/>
    </row>
    <row r="140" spans="1:15" s="14" customFormat="1" ht="21" customHeight="1">
      <c r="A140" s="10"/>
      <c r="B140" s="174"/>
      <c r="C140" s="11" t="s">
        <v>75</v>
      </c>
      <c r="D140" s="12" t="s">
        <v>136</v>
      </c>
      <c r="E140" s="17"/>
      <c r="F140" s="17"/>
      <c r="G140" s="148"/>
      <c r="H140" s="148"/>
      <c r="I140" s="148"/>
      <c r="J140" s="148"/>
      <c r="K140" s="309"/>
      <c r="M140" s="300"/>
      <c r="N140" s="2"/>
      <c r="O140" s="2"/>
    </row>
    <row r="141" spans="1:15" s="14" customFormat="1" ht="63.75">
      <c r="A141" s="15" t="s">
        <v>83</v>
      </c>
      <c r="B141" s="173">
        <v>170128</v>
      </c>
      <c r="C141" s="16" t="s">
        <v>363</v>
      </c>
      <c r="D141" s="8" t="s">
        <v>358</v>
      </c>
      <c r="E141" s="17" t="s">
        <v>109</v>
      </c>
      <c r="F141" s="17">
        <v>2</v>
      </c>
      <c r="G141" s="146">
        <v>542.4</v>
      </c>
      <c r="H141" s="146">
        <f aca="true" t="shared" si="30" ref="H141:H149">G141*$M$4</f>
        <v>167.6</v>
      </c>
      <c r="I141" s="144">
        <f>G141+H141</f>
        <v>710</v>
      </c>
      <c r="J141" s="147">
        <f>I141*F141</f>
        <v>1420</v>
      </c>
      <c r="K141" s="306">
        <f aca="true" t="shared" si="31" ref="K141:K150">J141/$J$169</f>
        <v>0.0024942</v>
      </c>
      <c r="M141" s="300"/>
      <c r="N141" s="2"/>
      <c r="O141" s="2"/>
    </row>
    <row r="142" spans="1:15" s="14" customFormat="1" ht="25.5">
      <c r="A142" s="15" t="s">
        <v>85</v>
      </c>
      <c r="B142" s="173">
        <v>11758</v>
      </c>
      <c r="C142" s="16" t="s">
        <v>364</v>
      </c>
      <c r="D142" s="8" t="s">
        <v>137</v>
      </c>
      <c r="E142" s="17" t="s">
        <v>109</v>
      </c>
      <c r="F142" s="17">
        <v>7</v>
      </c>
      <c r="G142" s="148">
        <v>40.24</v>
      </c>
      <c r="H142" s="146">
        <f t="shared" si="30"/>
        <v>12.43</v>
      </c>
      <c r="I142" s="144">
        <f aca="true" t="shared" si="32" ref="I142:I149">G142+H142</f>
        <v>52.67</v>
      </c>
      <c r="J142" s="147">
        <f aca="true" t="shared" si="33" ref="J142:J149">I142*F142</f>
        <v>368.69</v>
      </c>
      <c r="K142" s="306">
        <f t="shared" si="31"/>
        <v>0.0006476</v>
      </c>
      <c r="M142" s="156"/>
      <c r="N142" s="2"/>
      <c r="O142" s="2"/>
    </row>
    <row r="143" spans="1:15" s="14" customFormat="1" ht="21" customHeight="1">
      <c r="A143" s="15" t="s">
        <v>83</v>
      </c>
      <c r="B143" s="173">
        <v>180809</v>
      </c>
      <c r="C143" s="16" t="s">
        <v>680</v>
      </c>
      <c r="D143" s="8" t="s">
        <v>139</v>
      </c>
      <c r="E143" s="17" t="s">
        <v>109</v>
      </c>
      <c r="F143" s="17">
        <v>4</v>
      </c>
      <c r="G143" s="146">
        <v>67.86</v>
      </c>
      <c r="H143" s="146">
        <f t="shared" si="30"/>
        <v>20.97</v>
      </c>
      <c r="I143" s="144">
        <f t="shared" si="32"/>
        <v>88.83</v>
      </c>
      <c r="J143" s="147">
        <f t="shared" si="33"/>
        <v>355.32</v>
      </c>
      <c r="K143" s="306">
        <f t="shared" si="31"/>
        <v>0.0006241</v>
      </c>
      <c r="M143" s="300"/>
      <c r="N143" s="2"/>
      <c r="O143" s="2"/>
    </row>
    <row r="144" spans="1:15" s="14" customFormat="1" ht="51">
      <c r="A144" s="15" t="s">
        <v>83</v>
      </c>
      <c r="B144" s="173">
        <v>170530</v>
      </c>
      <c r="C144" s="16" t="s">
        <v>681</v>
      </c>
      <c r="D144" s="8" t="s">
        <v>138</v>
      </c>
      <c r="E144" s="17" t="s">
        <v>109</v>
      </c>
      <c r="F144" s="17">
        <v>3</v>
      </c>
      <c r="G144" s="146">
        <v>302.24</v>
      </c>
      <c r="H144" s="146">
        <f t="shared" si="30"/>
        <v>93.39</v>
      </c>
      <c r="I144" s="144">
        <f t="shared" si="32"/>
        <v>395.63</v>
      </c>
      <c r="J144" s="147">
        <f t="shared" si="33"/>
        <v>1186.89</v>
      </c>
      <c r="K144" s="306">
        <f t="shared" si="31"/>
        <v>0.0020848</v>
      </c>
      <c r="M144" s="300"/>
      <c r="N144" s="2"/>
      <c r="O144" s="2"/>
    </row>
    <row r="145" spans="1:15" s="14" customFormat="1" ht="63.75">
      <c r="A145" s="15" t="s">
        <v>83</v>
      </c>
      <c r="B145" s="173">
        <v>170126</v>
      </c>
      <c r="C145" s="16" t="s">
        <v>682</v>
      </c>
      <c r="D145" s="8" t="s">
        <v>140</v>
      </c>
      <c r="E145" s="17" t="s">
        <v>109</v>
      </c>
      <c r="F145" s="17">
        <v>2</v>
      </c>
      <c r="G145" s="146">
        <v>1337.68</v>
      </c>
      <c r="H145" s="146">
        <f t="shared" si="30"/>
        <v>413.34</v>
      </c>
      <c r="I145" s="144">
        <f t="shared" si="32"/>
        <v>1751.02</v>
      </c>
      <c r="J145" s="147">
        <f t="shared" si="33"/>
        <v>3502.04</v>
      </c>
      <c r="K145" s="306">
        <f t="shared" si="31"/>
        <v>0.0061514</v>
      </c>
      <c r="M145" s="300"/>
      <c r="N145" s="2"/>
      <c r="O145" s="2"/>
    </row>
    <row r="146" spans="1:15" s="14" customFormat="1" ht="51">
      <c r="A146" s="15" t="s">
        <v>83</v>
      </c>
      <c r="B146" s="173">
        <v>170136</v>
      </c>
      <c r="C146" s="16" t="s">
        <v>683</v>
      </c>
      <c r="D146" s="8" t="s">
        <v>577</v>
      </c>
      <c r="E146" s="17" t="s">
        <v>109</v>
      </c>
      <c r="F146" s="17">
        <v>5</v>
      </c>
      <c r="G146" s="146">
        <v>671.48</v>
      </c>
      <c r="H146" s="146">
        <f t="shared" si="30"/>
        <v>207.49</v>
      </c>
      <c r="I146" s="144">
        <f t="shared" si="32"/>
        <v>878.97</v>
      </c>
      <c r="J146" s="147">
        <f t="shared" si="33"/>
        <v>4394.85</v>
      </c>
      <c r="K146" s="306">
        <f t="shared" si="31"/>
        <v>0.0077196</v>
      </c>
      <c r="M146" s="300"/>
      <c r="N146" s="2"/>
      <c r="O146" s="2"/>
    </row>
    <row r="147" spans="1:15" s="14" customFormat="1" ht="38.25">
      <c r="A147" s="15" t="s">
        <v>83</v>
      </c>
      <c r="B147" s="173">
        <v>170130</v>
      </c>
      <c r="C147" s="16" t="s">
        <v>684</v>
      </c>
      <c r="D147" s="8" t="s">
        <v>371</v>
      </c>
      <c r="E147" s="17" t="s">
        <v>109</v>
      </c>
      <c r="F147" s="17">
        <v>5</v>
      </c>
      <c r="G147" s="146">
        <v>383.07</v>
      </c>
      <c r="H147" s="146">
        <f t="shared" si="30"/>
        <v>118.37</v>
      </c>
      <c r="I147" s="144">
        <f>G147+H147</f>
        <v>501.44</v>
      </c>
      <c r="J147" s="147">
        <f>I147*F147</f>
        <v>2507.2</v>
      </c>
      <c r="K147" s="306">
        <f t="shared" si="31"/>
        <v>0.0044039</v>
      </c>
      <c r="M147" s="300"/>
      <c r="N147" s="2"/>
      <c r="O147" s="2"/>
    </row>
    <row r="148" spans="1:15" s="14" customFormat="1" ht="25.5">
      <c r="A148" s="15" t="s">
        <v>83</v>
      </c>
      <c r="B148" s="173">
        <v>170304</v>
      </c>
      <c r="C148" s="16" t="s">
        <v>685</v>
      </c>
      <c r="D148" s="8" t="s">
        <v>141</v>
      </c>
      <c r="E148" s="17" t="s">
        <v>109</v>
      </c>
      <c r="F148" s="17">
        <v>7</v>
      </c>
      <c r="G148" s="146">
        <v>83.38</v>
      </c>
      <c r="H148" s="146">
        <f t="shared" si="30"/>
        <v>25.76</v>
      </c>
      <c r="I148" s="144">
        <f t="shared" si="32"/>
        <v>109.14</v>
      </c>
      <c r="J148" s="147">
        <f t="shared" si="33"/>
        <v>763.98</v>
      </c>
      <c r="K148" s="306">
        <f t="shared" si="31"/>
        <v>0.0013419</v>
      </c>
      <c r="M148" s="300"/>
      <c r="N148" s="2"/>
      <c r="O148" s="2"/>
    </row>
    <row r="149" spans="1:15" s="14" customFormat="1" ht="26.25" thickBot="1">
      <c r="A149" s="15" t="s">
        <v>83</v>
      </c>
      <c r="B149" s="173">
        <v>170315</v>
      </c>
      <c r="C149" s="16" t="s">
        <v>686</v>
      </c>
      <c r="D149" s="8" t="s">
        <v>142</v>
      </c>
      <c r="E149" s="17" t="s">
        <v>109</v>
      </c>
      <c r="F149" s="17">
        <v>3</v>
      </c>
      <c r="G149" s="146">
        <v>92.85</v>
      </c>
      <c r="H149" s="146">
        <f t="shared" si="30"/>
        <v>28.69</v>
      </c>
      <c r="I149" s="144">
        <f t="shared" si="32"/>
        <v>121.54</v>
      </c>
      <c r="J149" s="147">
        <f t="shared" si="33"/>
        <v>364.62</v>
      </c>
      <c r="K149" s="306">
        <f t="shared" si="31"/>
        <v>0.0006405</v>
      </c>
      <c r="M149" s="300"/>
      <c r="N149" s="2"/>
      <c r="O149" s="2"/>
    </row>
    <row r="150" spans="1:11" ht="21" customHeight="1" thickBot="1">
      <c r="A150" s="123"/>
      <c r="B150" s="171"/>
      <c r="C150" s="124"/>
      <c r="D150" s="125" t="s">
        <v>143</v>
      </c>
      <c r="E150" s="126"/>
      <c r="F150" s="140"/>
      <c r="G150" s="150"/>
      <c r="H150" s="150"/>
      <c r="I150" s="150"/>
      <c r="J150" s="151">
        <f>SUM(J141:J149)</f>
        <v>14863.59</v>
      </c>
      <c r="K150" s="307">
        <f t="shared" si="31"/>
        <v>0.0261081</v>
      </c>
    </row>
    <row r="151" spans="1:15" s="14" customFormat="1" ht="21" customHeight="1">
      <c r="A151" s="10"/>
      <c r="B151" s="174"/>
      <c r="C151" s="11" t="s">
        <v>80</v>
      </c>
      <c r="D151" s="12" t="s">
        <v>623</v>
      </c>
      <c r="E151" s="17"/>
      <c r="F151" s="17"/>
      <c r="G151" s="148"/>
      <c r="H151" s="148"/>
      <c r="I151" s="148"/>
      <c r="J151" s="148"/>
      <c r="K151" s="309"/>
      <c r="M151" s="156"/>
      <c r="N151" s="2"/>
      <c r="O151" s="2"/>
    </row>
    <row r="152" spans="1:15" s="14" customFormat="1" ht="21" customHeight="1" thickBot="1">
      <c r="A152" s="15" t="s">
        <v>83</v>
      </c>
      <c r="B152" s="173">
        <v>170220</v>
      </c>
      <c r="C152" s="16" t="s">
        <v>365</v>
      </c>
      <c r="D152" s="8" t="s">
        <v>148</v>
      </c>
      <c r="E152" s="17" t="s">
        <v>324</v>
      </c>
      <c r="F152" s="17">
        <f>'MEMÓRIA DE CÁLCULO'!J737</f>
        <v>3.78</v>
      </c>
      <c r="G152" s="146">
        <v>277</v>
      </c>
      <c r="H152" s="146">
        <f>G152*$M$4</f>
        <v>85.59</v>
      </c>
      <c r="I152" s="144">
        <f>G152+H152</f>
        <v>362.59</v>
      </c>
      <c r="J152" s="147">
        <f>I152*F152</f>
        <v>1370.59</v>
      </c>
      <c r="K152" s="306">
        <f>J152/$J$169</f>
        <v>0.0024075</v>
      </c>
      <c r="M152" s="300"/>
      <c r="N152" s="2"/>
      <c r="O152" s="2"/>
    </row>
    <row r="153" spans="1:13" ht="21" customHeight="1" thickBot="1">
      <c r="A153" s="123"/>
      <c r="B153" s="171"/>
      <c r="C153" s="124"/>
      <c r="D153" s="125" t="s">
        <v>201</v>
      </c>
      <c r="E153" s="126"/>
      <c r="F153" s="140"/>
      <c r="G153" s="150"/>
      <c r="H153" s="150"/>
      <c r="I153" s="150"/>
      <c r="J153" s="151">
        <f>SUM(J152:J152)</f>
        <v>1370.59</v>
      </c>
      <c r="K153" s="307">
        <f>J153/$J$169</f>
        <v>0.0024075</v>
      </c>
      <c r="M153" s="300"/>
    </row>
    <row r="154" spans="1:15" s="14" customFormat="1" ht="21" customHeight="1">
      <c r="A154" s="10"/>
      <c r="B154" s="174"/>
      <c r="C154" s="11" t="s">
        <v>149</v>
      </c>
      <c r="D154" s="12" t="s">
        <v>27</v>
      </c>
      <c r="E154" s="17"/>
      <c r="F154" s="17"/>
      <c r="G154" s="148"/>
      <c r="H154" s="148"/>
      <c r="I154" s="148"/>
      <c r="J154" s="148"/>
      <c r="K154" s="309"/>
      <c r="M154" s="300"/>
      <c r="N154" s="2"/>
      <c r="O154" s="2"/>
    </row>
    <row r="155" spans="1:15" s="14" customFormat="1" ht="38.25">
      <c r="A155" s="15" t="s">
        <v>83</v>
      </c>
      <c r="B155" s="173">
        <v>190103</v>
      </c>
      <c r="C155" s="16" t="s">
        <v>366</v>
      </c>
      <c r="D155" s="8" t="s">
        <v>145</v>
      </c>
      <c r="E155" s="17" t="s">
        <v>324</v>
      </c>
      <c r="F155" s="17">
        <f>'MEMÓRIA DE CÁLCULO'!J746</f>
        <v>693.63</v>
      </c>
      <c r="G155" s="146">
        <v>12.35</v>
      </c>
      <c r="H155" s="146">
        <f>G155*$M$4</f>
        <v>3.82</v>
      </c>
      <c r="I155" s="144">
        <f>G155+H155</f>
        <v>16.17</v>
      </c>
      <c r="J155" s="147">
        <f>I155*F155</f>
        <v>11216</v>
      </c>
      <c r="K155" s="306">
        <f>J155/$J$169</f>
        <v>0.019701</v>
      </c>
      <c r="M155" s="300"/>
      <c r="N155" s="2"/>
      <c r="O155" s="2"/>
    </row>
    <row r="156" spans="1:15" s="14" customFormat="1" ht="38.25">
      <c r="A156" s="15" t="s">
        <v>83</v>
      </c>
      <c r="B156" s="173">
        <v>190117</v>
      </c>
      <c r="C156" s="16" t="s">
        <v>693</v>
      </c>
      <c r="D156" s="8" t="s">
        <v>146</v>
      </c>
      <c r="E156" s="17" t="s">
        <v>324</v>
      </c>
      <c r="F156" s="17">
        <f>'MEMÓRIA DE CÁLCULO'!J750</f>
        <v>1509.61</v>
      </c>
      <c r="G156" s="146">
        <v>13.85</v>
      </c>
      <c r="H156" s="146">
        <f>G156*$M$4</f>
        <v>4.28</v>
      </c>
      <c r="I156" s="144">
        <f>G156+H156</f>
        <v>18.13</v>
      </c>
      <c r="J156" s="147">
        <f>I156*F156</f>
        <v>27369.23</v>
      </c>
      <c r="K156" s="306">
        <f>J156/$J$169</f>
        <v>0.0480744</v>
      </c>
      <c r="M156" s="300"/>
      <c r="N156" s="2"/>
      <c r="O156" s="2"/>
    </row>
    <row r="157" spans="1:15" s="14" customFormat="1" ht="51.75" thickBot="1">
      <c r="A157" s="15" t="s">
        <v>83</v>
      </c>
      <c r="B157" s="173">
        <v>190417</v>
      </c>
      <c r="C157" s="16" t="s">
        <v>694</v>
      </c>
      <c r="D157" s="8" t="s">
        <v>144</v>
      </c>
      <c r="E157" s="17" t="s">
        <v>324</v>
      </c>
      <c r="F157" s="17">
        <f>'MEMÓRIA DE CÁLCULO'!J768</f>
        <v>195.67</v>
      </c>
      <c r="G157" s="146">
        <v>14.06</v>
      </c>
      <c r="H157" s="146">
        <f>G157*$M$4</f>
        <v>4.34</v>
      </c>
      <c r="I157" s="144">
        <f>G157+H157</f>
        <v>18.4</v>
      </c>
      <c r="J157" s="147">
        <f>I157*F157</f>
        <v>3600.33</v>
      </c>
      <c r="K157" s="306">
        <f>J157/$J$169</f>
        <v>0.006324</v>
      </c>
      <c r="M157" s="300"/>
      <c r="N157" s="2"/>
      <c r="O157" s="2"/>
    </row>
    <row r="158" spans="1:13" ht="21" customHeight="1" thickBot="1">
      <c r="A158" s="123"/>
      <c r="B158" s="171"/>
      <c r="C158" s="124"/>
      <c r="D158" s="125" t="s">
        <v>192</v>
      </c>
      <c r="E158" s="126"/>
      <c r="F158" s="140"/>
      <c r="G158" s="150"/>
      <c r="H158" s="150"/>
      <c r="I158" s="150"/>
      <c r="J158" s="151">
        <f>SUM(J155:J157)</f>
        <v>42185.56</v>
      </c>
      <c r="K158" s="307">
        <f>J158/$J$169</f>
        <v>0.0740995</v>
      </c>
      <c r="M158" s="300"/>
    </row>
    <row r="159" spans="1:13" ht="21" customHeight="1">
      <c r="A159" s="10"/>
      <c r="B159" s="174"/>
      <c r="C159" s="11" t="s">
        <v>151</v>
      </c>
      <c r="D159" s="12" t="s">
        <v>154</v>
      </c>
      <c r="E159" s="18"/>
      <c r="F159" s="18"/>
      <c r="G159" s="149"/>
      <c r="H159" s="149"/>
      <c r="I159" s="148"/>
      <c r="J159" s="149"/>
      <c r="K159" s="310"/>
      <c r="M159" s="300"/>
    </row>
    <row r="160" spans="1:13" ht="25.5">
      <c r="A160" s="15" t="s">
        <v>83</v>
      </c>
      <c r="B160" s="173">
        <v>210301</v>
      </c>
      <c r="C160" s="16" t="s">
        <v>367</v>
      </c>
      <c r="D160" s="8" t="s">
        <v>556</v>
      </c>
      <c r="E160" s="17" t="s">
        <v>23</v>
      </c>
      <c r="F160" s="17">
        <f>'MEMÓRIA DE CÁLCULO'!J787</f>
        <v>16.45</v>
      </c>
      <c r="G160" s="146">
        <v>185.2</v>
      </c>
      <c r="H160" s="146">
        <f>G160*$M$4</f>
        <v>57.23</v>
      </c>
      <c r="I160" s="144">
        <f>G160+H160</f>
        <v>242.43</v>
      </c>
      <c r="J160" s="147">
        <f>I160*F160</f>
        <v>3987.97</v>
      </c>
      <c r="K160" s="306">
        <f>J160/$J$169</f>
        <v>0.0070049</v>
      </c>
      <c r="M160" s="300"/>
    </row>
    <row r="161" spans="1:15" s="14" customFormat="1" ht="38.25">
      <c r="A161" s="15" t="s">
        <v>83</v>
      </c>
      <c r="B161" s="173">
        <v>210302</v>
      </c>
      <c r="C161" s="16" t="s">
        <v>368</v>
      </c>
      <c r="D161" s="8" t="s">
        <v>557</v>
      </c>
      <c r="E161" s="17" t="s">
        <v>23</v>
      </c>
      <c r="F161" s="17">
        <f>'MEMÓRIA DE CÁLCULO'!J792</f>
        <v>16.45</v>
      </c>
      <c r="G161" s="146">
        <v>126.43</v>
      </c>
      <c r="H161" s="146">
        <f>G161*$M$4</f>
        <v>39.07</v>
      </c>
      <c r="I161" s="144">
        <f>G161+H161</f>
        <v>165.5</v>
      </c>
      <c r="J161" s="147">
        <f>I161*F161</f>
        <v>2722.48</v>
      </c>
      <c r="K161" s="306">
        <f>J161/$J$169</f>
        <v>0.0047821</v>
      </c>
      <c r="M161" s="300"/>
      <c r="N161" s="2"/>
      <c r="O161" s="2"/>
    </row>
    <row r="162" spans="1:15" s="14" customFormat="1" ht="21" customHeight="1">
      <c r="A162" s="15" t="s">
        <v>83</v>
      </c>
      <c r="B162" s="173">
        <v>110210</v>
      </c>
      <c r="C162" s="16" t="s">
        <v>369</v>
      </c>
      <c r="D162" s="8" t="s">
        <v>634</v>
      </c>
      <c r="E162" s="17" t="s">
        <v>23</v>
      </c>
      <c r="F162" s="17">
        <v>40.47</v>
      </c>
      <c r="G162" s="435">
        <v>43.67</v>
      </c>
      <c r="H162" s="146">
        <f>G162*$M$4</f>
        <v>13.49</v>
      </c>
      <c r="I162" s="144">
        <f>G162+H162</f>
        <v>57.16</v>
      </c>
      <c r="J162" s="147">
        <f>I162*F162</f>
        <v>2313.27</v>
      </c>
      <c r="K162" s="306">
        <f>J162/$J$169</f>
        <v>0.0040633</v>
      </c>
      <c r="M162" s="300"/>
      <c r="N162" s="2"/>
      <c r="O162" s="2"/>
    </row>
    <row r="163" spans="1:15" s="14" customFormat="1" ht="51.75" thickBot="1">
      <c r="A163" s="431" t="s">
        <v>83</v>
      </c>
      <c r="B163" s="432">
        <v>200576</v>
      </c>
      <c r="C163" s="16" t="s">
        <v>695</v>
      </c>
      <c r="D163" s="433" t="s">
        <v>635</v>
      </c>
      <c r="E163" s="434" t="s">
        <v>109</v>
      </c>
      <c r="F163" s="434">
        <v>1</v>
      </c>
      <c r="G163" s="162">
        <f>773.7/1.309</f>
        <v>591.06</v>
      </c>
      <c r="H163" s="146">
        <f>G163*$M$4</f>
        <v>182.64</v>
      </c>
      <c r="I163" s="144">
        <f>G163+H163</f>
        <v>773.7</v>
      </c>
      <c r="J163" s="147">
        <f>I163*F163</f>
        <v>773.7</v>
      </c>
      <c r="K163" s="306">
        <f>J163/$J$169</f>
        <v>0.001359</v>
      </c>
      <c r="M163" s="300"/>
      <c r="N163" s="2"/>
      <c r="O163" s="2"/>
    </row>
    <row r="164" spans="1:14" ht="21" customHeight="1" thickBot="1">
      <c r="A164" s="123"/>
      <c r="B164" s="171"/>
      <c r="C164" s="124"/>
      <c r="D164" s="125" t="s">
        <v>152</v>
      </c>
      <c r="E164" s="126"/>
      <c r="F164" s="140"/>
      <c r="G164" s="150"/>
      <c r="H164" s="150"/>
      <c r="I164" s="150"/>
      <c r="J164" s="151">
        <f>SUM(J160:J163)</f>
        <v>9797.42</v>
      </c>
      <c r="K164" s="307">
        <f>J164/$J$169</f>
        <v>0.0172093</v>
      </c>
      <c r="M164" s="300"/>
      <c r="N164" s="443"/>
    </row>
    <row r="165" spans="1:13" ht="21" customHeight="1">
      <c r="A165" s="10"/>
      <c r="B165" s="174"/>
      <c r="C165" s="11" t="s">
        <v>187</v>
      </c>
      <c r="D165" s="12" t="s">
        <v>28</v>
      </c>
      <c r="E165" s="18"/>
      <c r="F165" s="18"/>
      <c r="G165" s="149"/>
      <c r="H165" s="149"/>
      <c r="I165" s="148"/>
      <c r="J165" s="149"/>
      <c r="K165" s="310"/>
      <c r="M165" s="300"/>
    </row>
    <row r="166" spans="1:13" ht="21" customHeight="1" thickBot="1">
      <c r="A166" s="15" t="s">
        <v>83</v>
      </c>
      <c r="B166" s="173">
        <v>200401</v>
      </c>
      <c r="C166" s="16" t="s">
        <v>327</v>
      </c>
      <c r="D166" s="8" t="s">
        <v>150</v>
      </c>
      <c r="E166" s="17" t="s">
        <v>324</v>
      </c>
      <c r="F166" s="17">
        <f>'MEMÓRIA DE CÁLCULO'!J798</f>
        <v>432.52</v>
      </c>
      <c r="G166" s="146">
        <v>7.55</v>
      </c>
      <c r="H166" s="146">
        <f>G166*$M$4</f>
        <v>2.33</v>
      </c>
      <c r="I166" s="144">
        <f>G166+H166</f>
        <v>9.88</v>
      </c>
      <c r="J166" s="147">
        <f>I166*F166</f>
        <v>4273.3</v>
      </c>
      <c r="K166" s="306">
        <f>J166/$J$169</f>
        <v>0.0075061</v>
      </c>
      <c r="M166" s="300"/>
    </row>
    <row r="167" spans="1:14" ht="21" customHeight="1" thickBot="1">
      <c r="A167" s="123"/>
      <c r="B167" s="171"/>
      <c r="C167" s="124"/>
      <c r="D167" s="125" t="s">
        <v>193</v>
      </c>
      <c r="E167" s="126"/>
      <c r="F167" s="140"/>
      <c r="G167" s="150"/>
      <c r="H167" s="150"/>
      <c r="I167" s="150"/>
      <c r="J167" s="151">
        <f>J166</f>
        <v>4273.3</v>
      </c>
      <c r="K167" s="307">
        <f>J167/$J$169</f>
        <v>0.0075061</v>
      </c>
      <c r="M167" s="303"/>
      <c r="N167" s="401"/>
    </row>
    <row r="168" spans="1:14" ht="21" customHeight="1">
      <c r="A168" s="6"/>
      <c r="B168" s="169"/>
      <c r="C168" s="7"/>
      <c r="D168" s="8"/>
      <c r="E168" s="17"/>
      <c r="F168" s="17"/>
      <c r="G168" s="148"/>
      <c r="H168" s="148"/>
      <c r="I168" s="148"/>
      <c r="J168" s="148"/>
      <c r="K168" s="436"/>
      <c r="N168" s="401"/>
    </row>
    <row r="169" spans="1:14" s="25" customFormat="1" ht="21" customHeight="1">
      <c r="A169" s="23"/>
      <c r="B169" s="175"/>
      <c r="C169" s="24"/>
      <c r="D169" s="9" t="s">
        <v>153</v>
      </c>
      <c r="E169" s="13"/>
      <c r="F169" s="139"/>
      <c r="G169" s="149"/>
      <c r="H169" s="149"/>
      <c r="I169" s="149"/>
      <c r="J169" s="149">
        <f>J9+J12+J22+J32+J41+J49+J53+J56+J61+J68+J74+J81+J110+J118+J132+J139+J150+J153+J158+J164+J167</f>
        <v>569309.99</v>
      </c>
      <c r="K169" s="437">
        <f>SUM(K8:K168)/2</f>
        <v>1</v>
      </c>
      <c r="M169" s="302"/>
      <c r="N169" s="401"/>
    </row>
    <row r="170" spans="1:13" ht="18" customHeight="1">
      <c r="A170" s="530" t="s">
        <v>712</v>
      </c>
      <c r="B170" s="531"/>
      <c r="C170" s="531"/>
      <c r="D170" s="531"/>
      <c r="E170" s="531"/>
      <c r="F170" s="531"/>
      <c r="G170" s="531"/>
      <c r="H170" s="531"/>
      <c r="I170" s="531"/>
      <c r="J170" s="531"/>
      <c r="K170" s="532"/>
      <c r="M170" s="158"/>
    </row>
    <row r="171" spans="1:14" ht="18" customHeight="1" thickBot="1">
      <c r="A171" s="533"/>
      <c r="B171" s="534"/>
      <c r="C171" s="534"/>
      <c r="D171" s="534"/>
      <c r="E171" s="534"/>
      <c r="F171" s="534"/>
      <c r="G171" s="534"/>
      <c r="H171" s="534"/>
      <c r="I171" s="534"/>
      <c r="J171" s="534"/>
      <c r="K171" s="535"/>
      <c r="N171" s="398"/>
    </row>
  </sheetData>
  <sheetProtection/>
  <mergeCells count="8">
    <mergeCell ref="A170:K171"/>
    <mergeCell ref="G4:K4"/>
    <mergeCell ref="A5:K5"/>
    <mergeCell ref="A1:K1"/>
    <mergeCell ref="A2:D2"/>
    <mergeCell ref="G2:K2"/>
    <mergeCell ref="A3:E3"/>
    <mergeCell ref="G3:K3"/>
  </mergeCells>
  <printOptions horizontalCentered="1"/>
  <pageMargins left="0.2362204724409449" right="0.2362204724409449" top="0.5905511811023623" bottom="0.7874015748031497" header="0.31496062992125984" footer="0.31496062992125984"/>
  <pageSetup fitToHeight="10000" horizontalDpi="600" verticalDpi="600" orientation="portrait" paperSize="9" scale="55" r:id="rId3"/>
  <headerFooter alignWithMargins="0">
    <oddFooter>&amp;L&amp;G&amp;CAvenida Getúlio Vargas, 1.710 – 7º andar, Bairro Funcionários – Belo Horizonte – MG – CEP:30112-021&amp;R&amp;P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1"/>
  <sheetViews>
    <sheetView showGridLines="0" workbookViewId="0" topLeftCell="A642">
      <selection activeCell="B649" sqref="B649"/>
    </sheetView>
  </sheetViews>
  <sheetFormatPr defaultColWidth="9.00390625" defaultRowHeight="21" customHeight="1"/>
  <cols>
    <col min="1" max="1" width="9.75390625" style="38" customWidth="1"/>
    <col min="2" max="2" width="51.25390625" style="38" customWidth="1"/>
    <col min="3" max="3" width="9.00390625" style="38" customWidth="1"/>
    <col min="4" max="4" width="9.375" style="272" customWidth="1"/>
    <col min="5" max="5" width="8.875" style="272" customWidth="1"/>
    <col min="6" max="6" width="11.50390625" style="272" customWidth="1"/>
    <col min="7" max="7" width="9.00390625" style="272" customWidth="1"/>
    <col min="8" max="8" width="9.25390625" style="272" customWidth="1"/>
    <col min="9" max="9" width="8.375" style="272" customWidth="1"/>
    <col min="10" max="10" width="11.375" style="110" customWidth="1"/>
    <col min="11" max="11" width="9.00390625" style="38" customWidth="1"/>
    <col min="12" max="12" width="26.375" style="38" customWidth="1"/>
    <col min="13" max="13" width="19.375" style="38" customWidth="1"/>
    <col min="14" max="15" width="8.00390625" style="38" customWidth="1"/>
    <col min="16" max="16384" width="9.00390625" style="38" customWidth="1"/>
  </cols>
  <sheetData>
    <row r="1" spans="1:10" ht="45" customHeight="1">
      <c r="A1" s="556" t="s">
        <v>204</v>
      </c>
      <c r="B1" s="557"/>
      <c r="C1" s="557"/>
      <c r="D1" s="557"/>
      <c r="E1" s="557"/>
      <c r="F1" s="557"/>
      <c r="G1" s="557"/>
      <c r="H1" s="557"/>
      <c r="I1" s="557"/>
      <c r="J1" s="558"/>
    </row>
    <row r="2" spans="1:10" ht="14.25">
      <c r="A2" s="559" t="s">
        <v>450</v>
      </c>
      <c r="B2" s="560"/>
      <c r="C2" s="560"/>
      <c r="D2" s="560"/>
      <c r="E2" s="560"/>
      <c r="F2" s="560"/>
      <c r="G2" s="560"/>
      <c r="H2" s="560"/>
      <c r="I2" s="560"/>
      <c r="J2" s="561"/>
    </row>
    <row r="3" spans="1:11" ht="14.25">
      <c r="A3" s="559" t="s">
        <v>322</v>
      </c>
      <c r="B3" s="560"/>
      <c r="C3" s="560"/>
      <c r="D3" s="560"/>
      <c r="E3" s="560"/>
      <c r="F3" s="560"/>
      <c r="G3" s="560"/>
      <c r="H3" s="560"/>
      <c r="I3" s="560"/>
      <c r="J3" s="561"/>
      <c r="K3" s="39"/>
    </row>
    <row r="4" spans="1:11" ht="15" thickBot="1">
      <c r="A4" s="559"/>
      <c r="B4" s="560"/>
      <c r="C4" s="560"/>
      <c r="D4" s="560"/>
      <c r="E4" s="560"/>
      <c r="F4" s="560"/>
      <c r="G4" s="560"/>
      <c r="H4" s="560"/>
      <c r="I4" s="560"/>
      <c r="J4" s="561"/>
      <c r="K4" s="39"/>
    </row>
    <row r="5" spans="1:10" ht="19.5" customHeight="1">
      <c r="A5" s="562" t="s">
        <v>205</v>
      </c>
      <c r="B5" s="563"/>
      <c r="C5" s="563"/>
      <c r="D5" s="563"/>
      <c r="E5" s="563"/>
      <c r="F5" s="563"/>
      <c r="G5" s="563"/>
      <c r="H5" s="563"/>
      <c r="I5" s="563"/>
      <c r="J5" s="564"/>
    </row>
    <row r="6" spans="1:10" ht="45">
      <c r="A6" s="40" t="s">
        <v>81</v>
      </c>
      <c r="B6" s="41" t="s">
        <v>206</v>
      </c>
      <c r="C6" s="41" t="s">
        <v>207</v>
      </c>
      <c r="D6" s="252" t="s">
        <v>208</v>
      </c>
      <c r="E6" s="252" t="s">
        <v>209</v>
      </c>
      <c r="F6" s="252" t="s">
        <v>210</v>
      </c>
      <c r="G6" s="252" t="s">
        <v>211</v>
      </c>
      <c r="H6" s="252" t="s">
        <v>212</v>
      </c>
      <c r="I6" s="252" t="s">
        <v>213</v>
      </c>
      <c r="J6" s="96" t="s">
        <v>214</v>
      </c>
    </row>
    <row r="7" spans="1:10" ht="15">
      <c r="A7" s="42" t="s">
        <v>39</v>
      </c>
      <c r="B7" s="565" t="s">
        <v>79</v>
      </c>
      <c r="C7" s="566"/>
      <c r="D7" s="566"/>
      <c r="E7" s="566"/>
      <c r="F7" s="566"/>
      <c r="G7" s="566"/>
      <c r="H7" s="566"/>
      <c r="I7" s="566"/>
      <c r="J7" s="567"/>
    </row>
    <row r="8" spans="1:10" ht="15">
      <c r="A8" s="87" t="s">
        <v>2</v>
      </c>
      <c r="B8" s="117" t="s">
        <v>238</v>
      </c>
      <c r="C8" s="118" t="s">
        <v>219</v>
      </c>
      <c r="D8" s="253">
        <v>9</v>
      </c>
      <c r="E8" s="254"/>
      <c r="F8" s="254"/>
      <c r="G8" s="254"/>
      <c r="H8" s="254"/>
      <c r="I8" s="254"/>
      <c r="J8" s="134">
        <f>D8</f>
        <v>9</v>
      </c>
    </row>
    <row r="9" spans="1:10" ht="15">
      <c r="A9" s="132" t="s">
        <v>235</v>
      </c>
      <c r="B9" s="451" t="s">
        <v>696</v>
      </c>
      <c r="C9" s="452" t="s">
        <v>219</v>
      </c>
      <c r="D9" s="453">
        <v>7</v>
      </c>
      <c r="E9" s="454"/>
      <c r="F9" s="454"/>
      <c r="G9" s="454"/>
      <c r="H9" s="454"/>
      <c r="I9" s="454"/>
      <c r="J9" s="455">
        <f>D9</f>
        <v>7</v>
      </c>
    </row>
    <row r="10" spans="1:10" ht="14.25">
      <c r="A10" s="129"/>
      <c r="B10" s="133"/>
      <c r="C10" s="77"/>
      <c r="D10" s="257"/>
      <c r="E10" s="257"/>
      <c r="F10" s="257"/>
      <c r="G10" s="257"/>
      <c r="H10" s="257"/>
      <c r="I10" s="258"/>
      <c r="J10" s="107"/>
    </row>
    <row r="11" spans="1:10" ht="14.25">
      <c r="A11" s="46"/>
      <c r="B11" s="47"/>
      <c r="C11" s="47"/>
      <c r="D11" s="259"/>
      <c r="E11" s="259"/>
      <c r="F11" s="259"/>
      <c r="G11" s="259"/>
      <c r="H11" s="259"/>
      <c r="I11" s="259"/>
      <c r="J11" s="98"/>
    </row>
    <row r="12" spans="1:10" ht="15">
      <c r="A12" s="48" t="s">
        <v>40</v>
      </c>
      <c r="B12" s="551" t="s">
        <v>33</v>
      </c>
      <c r="C12" s="552"/>
      <c r="D12" s="552"/>
      <c r="E12" s="552"/>
      <c r="F12" s="552"/>
      <c r="G12" s="552"/>
      <c r="H12" s="552"/>
      <c r="I12" s="552"/>
      <c r="J12" s="553"/>
    </row>
    <row r="13" spans="1:10" ht="15">
      <c r="A13" s="33" t="s">
        <v>3</v>
      </c>
      <c r="B13" s="34" t="s">
        <v>217</v>
      </c>
      <c r="C13" s="35" t="s">
        <v>216</v>
      </c>
      <c r="D13" s="260" t="s">
        <v>208</v>
      </c>
      <c r="E13" s="260" t="s">
        <v>209</v>
      </c>
      <c r="F13" s="260" t="s">
        <v>210</v>
      </c>
      <c r="G13" s="260" t="s">
        <v>211</v>
      </c>
      <c r="H13" s="260" t="s">
        <v>212</v>
      </c>
      <c r="I13" s="260" t="s">
        <v>213</v>
      </c>
      <c r="J13" s="85">
        <f>J14</f>
        <v>8</v>
      </c>
    </row>
    <row r="14" spans="1:10" ht="14.25">
      <c r="A14" s="43"/>
      <c r="B14" s="49" t="s">
        <v>218</v>
      </c>
      <c r="C14" s="50"/>
      <c r="D14" s="255">
        <v>1</v>
      </c>
      <c r="E14" s="255">
        <v>4</v>
      </c>
      <c r="F14" s="255">
        <v>2</v>
      </c>
      <c r="G14" s="255"/>
      <c r="H14" s="255"/>
      <c r="I14" s="256"/>
      <c r="J14" s="99">
        <f>D14*(E14*F14)</f>
        <v>8</v>
      </c>
    </row>
    <row r="15" spans="1:10" ht="14.25">
      <c r="A15" s="43"/>
      <c r="B15" s="52"/>
      <c r="C15" s="50"/>
      <c r="D15" s="255"/>
      <c r="E15" s="255"/>
      <c r="F15" s="255"/>
      <c r="G15" s="255"/>
      <c r="H15" s="255"/>
      <c r="I15" s="256"/>
      <c r="J15" s="99"/>
    </row>
    <row r="16" spans="1:10" ht="14.25">
      <c r="A16" s="53"/>
      <c r="B16" s="47"/>
      <c r="C16" s="54"/>
      <c r="D16" s="261"/>
      <c r="E16" s="261"/>
      <c r="F16" s="261"/>
      <c r="G16" s="261"/>
      <c r="H16" s="261"/>
      <c r="I16" s="262"/>
      <c r="J16" s="100"/>
    </row>
    <row r="17" spans="1:10" ht="15">
      <c r="A17" s="42">
        <v>3</v>
      </c>
      <c r="B17" s="551" t="s">
        <v>78</v>
      </c>
      <c r="C17" s="552"/>
      <c r="D17" s="552"/>
      <c r="E17" s="552"/>
      <c r="F17" s="552"/>
      <c r="G17" s="552"/>
      <c r="H17" s="552"/>
      <c r="I17" s="552"/>
      <c r="J17" s="553"/>
    </row>
    <row r="18" spans="1:12" ht="20.25" customHeight="1">
      <c r="A18" s="33" t="s">
        <v>4</v>
      </c>
      <c r="B18" s="36" t="s">
        <v>239</v>
      </c>
      <c r="C18" s="35" t="s">
        <v>221</v>
      </c>
      <c r="D18" s="260" t="s">
        <v>208</v>
      </c>
      <c r="E18" s="260" t="s">
        <v>209</v>
      </c>
      <c r="F18" s="260" t="s">
        <v>210</v>
      </c>
      <c r="G18" s="260" t="s">
        <v>211</v>
      </c>
      <c r="H18" s="260" t="s">
        <v>212</v>
      </c>
      <c r="I18" s="260" t="s">
        <v>213</v>
      </c>
      <c r="J18" s="85">
        <f>SUM(J19:J32)</f>
        <v>26.56</v>
      </c>
      <c r="K18" s="55"/>
      <c r="L18" s="39"/>
    </row>
    <row r="19" spans="1:15" ht="14.25">
      <c r="A19" s="43"/>
      <c r="B19" s="37" t="s">
        <v>454</v>
      </c>
      <c r="C19" s="44"/>
      <c r="D19" s="263"/>
      <c r="E19" s="263"/>
      <c r="F19" s="263"/>
      <c r="G19" s="263"/>
      <c r="H19" s="263"/>
      <c r="I19" s="263"/>
      <c r="J19" s="97"/>
      <c r="L19" s="39"/>
      <c r="M19" s="39"/>
      <c r="N19" s="39"/>
      <c r="O19" s="39"/>
    </row>
    <row r="20" spans="1:15" ht="14.25">
      <c r="A20" s="43"/>
      <c r="B20" s="49" t="s">
        <v>455</v>
      </c>
      <c r="C20" s="50"/>
      <c r="D20" s="255">
        <v>1</v>
      </c>
      <c r="E20" s="255">
        <v>2.82</v>
      </c>
      <c r="F20" s="255">
        <v>0.2</v>
      </c>
      <c r="G20" s="255">
        <v>2.8</v>
      </c>
      <c r="H20" s="255"/>
      <c r="I20" s="256"/>
      <c r="J20" s="97">
        <f>G20*F20*E20*D20</f>
        <v>1.58</v>
      </c>
      <c r="L20" s="39"/>
      <c r="M20" s="39"/>
      <c r="N20" s="39"/>
      <c r="O20" s="39"/>
    </row>
    <row r="21" spans="1:15" ht="14.25">
      <c r="A21" s="43"/>
      <c r="B21" s="49"/>
      <c r="C21" s="50"/>
      <c r="D21" s="255">
        <v>1</v>
      </c>
      <c r="E21" s="255">
        <v>6.8</v>
      </c>
      <c r="F21" s="255">
        <v>0.2</v>
      </c>
      <c r="G21" s="255">
        <v>2.8</v>
      </c>
      <c r="H21" s="255"/>
      <c r="I21" s="256"/>
      <c r="J21" s="97">
        <f aca="true" t="shared" si="0" ref="J21:J32">G21*F21*E21*D21</f>
        <v>3.81</v>
      </c>
      <c r="L21" s="283"/>
      <c r="M21" s="284"/>
      <c r="N21" s="285"/>
      <c r="O21" s="39"/>
    </row>
    <row r="22" spans="1:15" ht="14.25">
      <c r="A22" s="43"/>
      <c r="B22" s="49"/>
      <c r="C22" s="50"/>
      <c r="D22" s="255">
        <v>1</v>
      </c>
      <c r="E22" s="255">
        <v>3.44</v>
      </c>
      <c r="F22" s="255">
        <v>0.2</v>
      </c>
      <c r="G22" s="255">
        <v>2.8</v>
      </c>
      <c r="H22" s="255"/>
      <c r="I22" s="256"/>
      <c r="J22" s="97">
        <f t="shared" si="0"/>
        <v>1.93</v>
      </c>
      <c r="L22" s="283"/>
      <c r="M22" s="284"/>
      <c r="N22" s="285"/>
      <c r="O22" s="39"/>
    </row>
    <row r="23" spans="1:15" ht="14.25">
      <c r="A23" s="43"/>
      <c r="B23" s="49"/>
      <c r="C23" s="50"/>
      <c r="D23" s="255">
        <v>1</v>
      </c>
      <c r="E23" s="255">
        <v>2.02</v>
      </c>
      <c r="F23" s="255">
        <v>0.2</v>
      </c>
      <c r="G23" s="255">
        <v>2.8</v>
      </c>
      <c r="H23" s="255"/>
      <c r="I23" s="256"/>
      <c r="J23" s="97">
        <f t="shared" si="0"/>
        <v>1.13</v>
      </c>
      <c r="L23" s="283"/>
      <c r="M23" s="284"/>
      <c r="N23" s="285"/>
      <c r="O23" s="39"/>
    </row>
    <row r="24" spans="1:15" ht="14.25">
      <c r="A24" s="43"/>
      <c r="B24" s="49"/>
      <c r="C24" s="50"/>
      <c r="D24" s="255">
        <v>2</v>
      </c>
      <c r="E24" s="255">
        <v>2.4</v>
      </c>
      <c r="F24" s="255">
        <v>0.2</v>
      </c>
      <c r="G24" s="255">
        <v>2.8</v>
      </c>
      <c r="H24" s="255"/>
      <c r="I24" s="256"/>
      <c r="J24" s="97">
        <f t="shared" si="0"/>
        <v>2.69</v>
      </c>
      <c r="L24" s="283"/>
      <c r="M24" s="284"/>
      <c r="N24" s="285"/>
      <c r="O24" s="39"/>
    </row>
    <row r="25" spans="1:15" ht="14.25">
      <c r="A25" s="43"/>
      <c r="B25" s="49" t="s">
        <v>468</v>
      </c>
      <c r="C25" s="50"/>
      <c r="D25" s="255">
        <v>2</v>
      </c>
      <c r="E25" s="255">
        <v>3.6</v>
      </c>
      <c r="F25" s="255">
        <v>0.15</v>
      </c>
      <c r="G25" s="255">
        <v>2.8</v>
      </c>
      <c r="H25" s="255"/>
      <c r="I25" s="256"/>
      <c r="J25" s="97">
        <f t="shared" si="0"/>
        <v>3.02</v>
      </c>
      <c r="L25" s="283"/>
      <c r="M25" s="284"/>
      <c r="N25" s="285"/>
      <c r="O25" s="39"/>
    </row>
    <row r="26" spans="1:15" ht="14.25">
      <c r="A26" s="43"/>
      <c r="B26" s="49"/>
      <c r="C26" s="50"/>
      <c r="D26" s="255">
        <v>2</v>
      </c>
      <c r="E26" s="255">
        <v>2.35</v>
      </c>
      <c r="F26" s="255">
        <v>0.15</v>
      </c>
      <c r="G26" s="255">
        <v>2.8</v>
      </c>
      <c r="H26" s="255"/>
      <c r="I26" s="256"/>
      <c r="J26" s="97">
        <f t="shared" si="0"/>
        <v>1.97</v>
      </c>
      <c r="L26" s="283"/>
      <c r="M26" s="284"/>
      <c r="N26" s="285"/>
      <c r="O26" s="39"/>
    </row>
    <row r="27" spans="1:15" ht="14.25">
      <c r="A27" s="43"/>
      <c r="B27" s="49" t="s">
        <v>469</v>
      </c>
      <c r="C27" s="50"/>
      <c r="D27" s="255">
        <v>1</v>
      </c>
      <c r="E27" s="255">
        <v>2.84</v>
      </c>
      <c r="F27" s="255">
        <v>0.15</v>
      </c>
      <c r="G27" s="255">
        <v>2.8</v>
      </c>
      <c r="H27" s="255"/>
      <c r="I27" s="256"/>
      <c r="J27" s="97">
        <f t="shared" si="0"/>
        <v>1.19</v>
      </c>
      <c r="L27" s="283"/>
      <c r="M27" s="284"/>
      <c r="N27" s="285"/>
      <c r="O27" s="39"/>
    </row>
    <row r="28" spans="1:15" ht="14.25">
      <c r="A28" s="43"/>
      <c r="B28" s="49"/>
      <c r="C28" s="50"/>
      <c r="D28" s="255">
        <v>1</v>
      </c>
      <c r="E28" s="255">
        <v>3.29</v>
      </c>
      <c r="F28" s="255">
        <v>0.15</v>
      </c>
      <c r="G28" s="255">
        <v>2.8</v>
      </c>
      <c r="H28" s="255"/>
      <c r="I28" s="256"/>
      <c r="J28" s="97">
        <f t="shared" si="0"/>
        <v>1.38</v>
      </c>
      <c r="L28" s="283"/>
      <c r="M28" s="284"/>
      <c r="N28" s="285"/>
      <c r="O28" s="39"/>
    </row>
    <row r="29" spans="1:15" ht="14.25">
      <c r="A29" s="43"/>
      <c r="B29" s="49" t="s">
        <v>456</v>
      </c>
      <c r="C29" s="50"/>
      <c r="D29" s="255">
        <v>1</v>
      </c>
      <c r="E29" s="255">
        <v>1.8</v>
      </c>
      <c r="F29" s="255">
        <v>0.15</v>
      </c>
      <c r="G29" s="255">
        <v>2.8</v>
      </c>
      <c r="H29" s="255"/>
      <c r="I29" s="256"/>
      <c r="J29" s="97">
        <f t="shared" si="0"/>
        <v>0.76</v>
      </c>
      <c r="L29" s="283"/>
      <c r="M29" s="284"/>
      <c r="N29" s="285"/>
      <c r="O29" s="39"/>
    </row>
    <row r="30" spans="1:15" ht="14.25">
      <c r="A30" s="43"/>
      <c r="B30" s="49"/>
      <c r="C30" s="50"/>
      <c r="D30" s="255">
        <v>1</v>
      </c>
      <c r="E30" s="255">
        <v>7.8</v>
      </c>
      <c r="F30" s="255">
        <v>0.15</v>
      </c>
      <c r="G30" s="255">
        <v>2.8</v>
      </c>
      <c r="H30" s="255"/>
      <c r="I30" s="256"/>
      <c r="J30" s="97">
        <f t="shared" si="0"/>
        <v>3.28</v>
      </c>
      <c r="L30" s="283"/>
      <c r="M30" s="284"/>
      <c r="N30" s="285"/>
      <c r="O30" s="39"/>
    </row>
    <row r="31" spans="1:15" ht="14.25">
      <c r="A31" s="43"/>
      <c r="B31" s="49"/>
      <c r="C31" s="50"/>
      <c r="D31" s="255">
        <v>1</v>
      </c>
      <c r="E31" s="255">
        <v>4</v>
      </c>
      <c r="F31" s="255">
        <v>0.15</v>
      </c>
      <c r="G31" s="255">
        <v>2.8</v>
      </c>
      <c r="H31" s="255"/>
      <c r="I31" s="256"/>
      <c r="J31" s="97">
        <f t="shared" si="0"/>
        <v>1.68</v>
      </c>
      <c r="L31" s="283"/>
      <c r="M31" s="284"/>
      <c r="N31" s="285"/>
      <c r="O31" s="39"/>
    </row>
    <row r="32" spans="1:15" ht="14.25">
      <c r="A32" s="43"/>
      <c r="B32" s="49" t="s">
        <v>457</v>
      </c>
      <c r="C32" s="50"/>
      <c r="D32" s="255">
        <v>1</v>
      </c>
      <c r="E32" s="255">
        <v>5.1</v>
      </c>
      <c r="F32" s="255">
        <v>0.15</v>
      </c>
      <c r="G32" s="255">
        <v>2.8</v>
      </c>
      <c r="H32" s="255"/>
      <c r="I32" s="256"/>
      <c r="J32" s="97">
        <f t="shared" si="0"/>
        <v>2.14</v>
      </c>
      <c r="L32" s="283"/>
      <c r="M32" s="284"/>
      <c r="N32" s="285"/>
      <c r="O32" s="39"/>
    </row>
    <row r="33" spans="1:15" ht="14.25">
      <c r="A33" s="43"/>
      <c r="B33" s="111"/>
      <c r="C33" s="44"/>
      <c r="D33" s="264"/>
      <c r="E33" s="264"/>
      <c r="F33" s="264"/>
      <c r="G33" s="264"/>
      <c r="H33" s="255"/>
      <c r="I33" s="263"/>
      <c r="J33" s="97"/>
      <c r="L33" s="283"/>
      <c r="M33" s="284"/>
      <c r="N33" s="285"/>
      <c r="O33" s="39"/>
    </row>
    <row r="34" spans="1:10" ht="14.25">
      <c r="A34" s="53"/>
      <c r="B34" s="47"/>
      <c r="C34" s="54"/>
      <c r="D34" s="261"/>
      <c r="E34" s="261"/>
      <c r="F34" s="261"/>
      <c r="G34" s="261"/>
      <c r="H34" s="261"/>
      <c r="I34" s="262"/>
      <c r="J34" s="100"/>
    </row>
    <row r="35" spans="1:12" ht="20.25" customHeight="1">
      <c r="A35" s="409" t="s">
        <v>5</v>
      </c>
      <c r="B35" s="36" t="s">
        <v>600</v>
      </c>
      <c r="C35" s="35" t="s">
        <v>216</v>
      </c>
      <c r="D35" s="260" t="s">
        <v>208</v>
      </c>
      <c r="E35" s="260" t="s">
        <v>209</v>
      </c>
      <c r="F35" s="260" t="s">
        <v>210</v>
      </c>
      <c r="G35" s="260" t="s">
        <v>211</v>
      </c>
      <c r="H35" s="260" t="s">
        <v>212</v>
      </c>
      <c r="I35" s="260" t="s">
        <v>213</v>
      </c>
      <c r="J35" s="85">
        <f>SUM(J36:J46)</f>
        <v>181.31</v>
      </c>
      <c r="K35" s="55"/>
      <c r="L35" s="39"/>
    </row>
    <row r="36" spans="1:15" ht="14.25">
      <c r="A36" s="43"/>
      <c r="B36" s="37" t="s">
        <v>454</v>
      </c>
      <c r="C36" s="44"/>
      <c r="D36" s="263"/>
      <c r="E36" s="263"/>
      <c r="F36" s="263"/>
      <c r="G36" s="263"/>
      <c r="H36" s="263"/>
      <c r="I36" s="263"/>
      <c r="J36" s="97"/>
      <c r="L36" s="39"/>
      <c r="M36" s="39"/>
      <c r="N36" s="39"/>
      <c r="O36" s="39"/>
    </row>
    <row r="37" spans="1:15" ht="14.25">
      <c r="A37" s="43"/>
      <c r="B37" s="49" t="s">
        <v>375</v>
      </c>
      <c r="C37" s="50"/>
      <c r="D37" s="255"/>
      <c r="E37" s="255"/>
      <c r="F37" s="255"/>
      <c r="G37" s="255"/>
      <c r="H37" s="255"/>
      <c r="I37" s="256"/>
      <c r="J37" s="97"/>
      <c r="L37" s="39"/>
      <c r="M37" s="39"/>
      <c r="N37" s="39"/>
      <c r="O37" s="39"/>
    </row>
    <row r="38" spans="1:15" ht="14.25">
      <c r="A38" s="43"/>
      <c r="B38" s="49" t="s">
        <v>607</v>
      </c>
      <c r="C38" s="50">
        <v>88.45</v>
      </c>
      <c r="D38" s="255"/>
      <c r="E38" s="255"/>
      <c r="F38" s="255"/>
      <c r="G38" s="255"/>
      <c r="H38" s="255"/>
      <c r="I38" s="256"/>
      <c r="J38" s="97">
        <f aca="true" t="shared" si="1" ref="J38:J45">C38</f>
        <v>88.45</v>
      </c>
      <c r="L38" s="283"/>
      <c r="M38" s="284"/>
      <c r="N38" s="285"/>
      <c r="O38" s="39"/>
    </row>
    <row r="39" spans="1:15" ht="14.25">
      <c r="A39" s="43"/>
      <c r="B39" s="49" t="s">
        <v>464</v>
      </c>
      <c r="C39" s="50">
        <v>27.21</v>
      </c>
      <c r="D39" s="255"/>
      <c r="E39" s="255"/>
      <c r="F39" s="255"/>
      <c r="G39" s="255"/>
      <c r="H39" s="255"/>
      <c r="I39" s="256"/>
      <c r="J39" s="97">
        <f t="shared" si="1"/>
        <v>27.21</v>
      </c>
      <c r="L39" s="283"/>
      <c r="M39" s="284"/>
      <c r="N39" s="285"/>
      <c r="O39" s="39"/>
    </row>
    <row r="40" spans="1:15" ht="14.25">
      <c r="A40" s="43"/>
      <c r="B40" s="49" t="s">
        <v>608</v>
      </c>
      <c r="C40" s="50">
        <v>6.35</v>
      </c>
      <c r="D40" s="255"/>
      <c r="E40" s="255"/>
      <c r="F40" s="255"/>
      <c r="G40" s="255"/>
      <c r="H40" s="255"/>
      <c r="I40" s="256"/>
      <c r="J40" s="97">
        <f t="shared" si="1"/>
        <v>6.35</v>
      </c>
      <c r="L40" s="283"/>
      <c r="M40" s="284"/>
      <c r="N40" s="285"/>
      <c r="O40" s="39"/>
    </row>
    <row r="41" spans="1:15" ht="14.25">
      <c r="A41" s="43"/>
      <c r="B41" s="49" t="s">
        <v>609</v>
      </c>
      <c r="C41" s="50">
        <v>10.93</v>
      </c>
      <c r="D41" s="255"/>
      <c r="E41" s="255"/>
      <c r="F41" s="255"/>
      <c r="G41" s="255"/>
      <c r="H41" s="255"/>
      <c r="I41" s="256"/>
      <c r="J41" s="97">
        <f t="shared" si="1"/>
        <v>10.93</v>
      </c>
      <c r="L41" s="283"/>
      <c r="M41" s="284"/>
      <c r="N41" s="285"/>
      <c r="O41" s="39"/>
    </row>
    <row r="42" spans="1:15" ht="14.25">
      <c r="A42" s="43"/>
      <c r="B42" s="49" t="s">
        <v>610</v>
      </c>
      <c r="C42" s="50">
        <v>10.17</v>
      </c>
      <c r="D42" s="255"/>
      <c r="E42" s="255"/>
      <c r="F42" s="255"/>
      <c r="G42" s="255"/>
      <c r="H42" s="255"/>
      <c r="I42" s="256"/>
      <c r="J42" s="97">
        <f t="shared" si="1"/>
        <v>10.17</v>
      </c>
      <c r="L42" s="283"/>
      <c r="M42" s="284"/>
      <c r="N42" s="285"/>
      <c r="O42" s="39"/>
    </row>
    <row r="43" spans="1:15" ht="14.25">
      <c r="A43" s="43"/>
      <c r="B43" s="49" t="s">
        <v>517</v>
      </c>
      <c r="C43" s="50">
        <v>9</v>
      </c>
      <c r="D43" s="255"/>
      <c r="E43" s="255"/>
      <c r="F43" s="255"/>
      <c r="G43" s="255"/>
      <c r="H43" s="255"/>
      <c r="I43" s="256"/>
      <c r="J43" s="97">
        <f t="shared" si="1"/>
        <v>9</v>
      </c>
      <c r="L43" s="283"/>
      <c r="M43" s="284"/>
      <c r="N43" s="285"/>
      <c r="O43" s="39"/>
    </row>
    <row r="44" spans="1:15" ht="14.25">
      <c r="A44" s="43"/>
      <c r="B44" s="49" t="s">
        <v>611</v>
      </c>
      <c r="C44" s="50">
        <v>16.87</v>
      </c>
      <c r="D44" s="255"/>
      <c r="E44" s="255"/>
      <c r="F44" s="255"/>
      <c r="G44" s="255"/>
      <c r="H44" s="255"/>
      <c r="I44" s="256"/>
      <c r="J44" s="97">
        <f t="shared" si="1"/>
        <v>16.87</v>
      </c>
      <c r="L44" s="283"/>
      <c r="M44" s="284"/>
      <c r="N44" s="285"/>
      <c r="O44" s="39"/>
    </row>
    <row r="45" spans="1:15" ht="14.25">
      <c r="A45" s="43"/>
      <c r="B45" s="49" t="s">
        <v>620</v>
      </c>
      <c r="C45" s="50">
        <v>12.33</v>
      </c>
      <c r="D45" s="255"/>
      <c r="E45" s="255"/>
      <c r="F45" s="255"/>
      <c r="G45" s="255"/>
      <c r="H45" s="255"/>
      <c r="I45" s="256"/>
      <c r="J45" s="97">
        <f t="shared" si="1"/>
        <v>12.33</v>
      </c>
      <c r="L45" s="283"/>
      <c r="M45" s="284"/>
      <c r="N45" s="285"/>
      <c r="O45" s="39"/>
    </row>
    <row r="46" spans="1:15" ht="14.25">
      <c r="A46" s="43"/>
      <c r="B46" s="49"/>
      <c r="C46" s="50"/>
      <c r="D46" s="255"/>
      <c r="E46" s="255"/>
      <c r="F46" s="255"/>
      <c r="G46" s="255"/>
      <c r="H46" s="255"/>
      <c r="I46" s="256"/>
      <c r="J46" s="97"/>
      <c r="L46" s="283"/>
      <c r="M46" s="284"/>
      <c r="N46" s="285"/>
      <c r="O46" s="39"/>
    </row>
    <row r="47" spans="1:15" ht="14.25">
      <c r="A47" s="53"/>
      <c r="B47" s="47"/>
      <c r="C47" s="54"/>
      <c r="D47" s="261"/>
      <c r="E47" s="261"/>
      <c r="F47" s="261"/>
      <c r="G47" s="261"/>
      <c r="H47" s="261"/>
      <c r="I47" s="262"/>
      <c r="J47" s="101"/>
      <c r="L47" s="283"/>
      <c r="M47" s="284"/>
      <c r="N47" s="285"/>
      <c r="O47" s="39"/>
    </row>
    <row r="48" spans="1:15" ht="33" customHeight="1">
      <c r="A48" s="56" t="s">
        <v>38</v>
      </c>
      <c r="B48" s="36" t="s">
        <v>240</v>
      </c>
      <c r="C48" s="35" t="s">
        <v>216</v>
      </c>
      <c r="D48" s="260" t="s">
        <v>208</v>
      </c>
      <c r="E48" s="260" t="s">
        <v>209</v>
      </c>
      <c r="F48" s="260" t="s">
        <v>210</v>
      </c>
      <c r="G48" s="260" t="s">
        <v>211</v>
      </c>
      <c r="H48" s="260" t="s">
        <v>212</v>
      </c>
      <c r="I48" s="260" t="s">
        <v>213</v>
      </c>
      <c r="J48" s="85">
        <f>SUM(J50:J52)/2</f>
        <v>136.6</v>
      </c>
      <c r="K48" s="55"/>
      <c r="L48" s="39"/>
      <c r="M48" s="39"/>
      <c r="N48" s="39"/>
      <c r="O48" s="39"/>
    </row>
    <row r="49" spans="1:15" ht="14.25">
      <c r="A49" s="43"/>
      <c r="B49" s="37" t="s">
        <v>467</v>
      </c>
      <c r="C49" s="44"/>
      <c r="D49" s="264"/>
      <c r="E49" s="264"/>
      <c r="F49" s="264"/>
      <c r="G49" s="264"/>
      <c r="H49" s="255"/>
      <c r="I49" s="263"/>
      <c r="J49" s="97"/>
      <c r="L49" s="39"/>
      <c r="M49" s="39"/>
      <c r="N49" s="39"/>
      <c r="O49" s="39"/>
    </row>
    <row r="50" spans="1:15" ht="14.25">
      <c r="A50" s="43"/>
      <c r="B50" s="37" t="s">
        <v>458</v>
      </c>
      <c r="C50" s="44"/>
      <c r="D50" s="264"/>
      <c r="E50" s="264">
        <v>25.54</v>
      </c>
      <c r="F50" s="264">
        <v>9.52</v>
      </c>
      <c r="G50" s="264"/>
      <c r="H50" s="255"/>
      <c r="I50" s="263"/>
      <c r="J50" s="97">
        <f>E50*F50</f>
        <v>243.14</v>
      </c>
      <c r="L50" s="39"/>
      <c r="M50" s="39"/>
      <c r="N50" s="39"/>
      <c r="O50" s="39"/>
    </row>
    <row r="51" spans="1:15" ht="14.25">
      <c r="A51" s="43"/>
      <c r="B51" s="37"/>
      <c r="C51" s="44"/>
      <c r="D51" s="264"/>
      <c r="E51" s="264">
        <v>3.97</v>
      </c>
      <c r="F51" s="264">
        <v>1.55</v>
      </c>
      <c r="G51" s="264"/>
      <c r="H51" s="255"/>
      <c r="I51" s="263"/>
      <c r="J51" s="97">
        <f>E51*F51</f>
        <v>6.15</v>
      </c>
      <c r="L51" s="39"/>
      <c r="M51" s="39"/>
      <c r="N51" s="39"/>
      <c r="O51" s="39"/>
    </row>
    <row r="52" spans="1:15" ht="14.25">
      <c r="A52" s="43"/>
      <c r="B52" s="37"/>
      <c r="C52" s="44"/>
      <c r="D52" s="264"/>
      <c r="E52" s="264">
        <v>3.73</v>
      </c>
      <c r="F52" s="264">
        <v>6.41</v>
      </c>
      <c r="G52" s="264"/>
      <c r="H52" s="255"/>
      <c r="I52" s="263"/>
      <c r="J52" s="97">
        <f>E52*F52</f>
        <v>23.91</v>
      </c>
      <c r="L52" s="39"/>
      <c r="M52" s="39"/>
      <c r="N52" s="39"/>
      <c r="O52" s="39"/>
    </row>
    <row r="53" spans="1:15" ht="14.25">
      <c r="A53" s="43"/>
      <c r="B53" s="111" t="s">
        <v>597</v>
      </c>
      <c r="C53" s="44"/>
      <c r="D53" s="264"/>
      <c r="E53" s="264"/>
      <c r="F53" s="264"/>
      <c r="G53" s="264"/>
      <c r="H53" s="255"/>
      <c r="I53" s="263"/>
      <c r="J53" s="97"/>
      <c r="L53" s="39"/>
      <c r="M53" s="39"/>
      <c r="N53" s="39"/>
      <c r="O53" s="39"/>
    </row>
    <row r="54" spans="1:15" ht="14.25">
      <c r="A54" s="43"/>
      <c r="B54" s="52"/>
      <c r="C54" s="50"/>
      <c r="D54" s="255"/>
      <c r="E54" s="255"/>
      <c r="F54" s="255"/>
      <c r="G54" s="255"/>
      <c r="H54" s="255"/>
      <c r="I54" s="256"/>
      <c r="J54" s="99"/>
      <c r="L54" s="39"/>
      <c r="M54" s="39"/>
      <c r="N54" s="39"/>
      <c r="O54" s="39"/>
    </row>
    <row r="55" spans="1:10" ht="14.25">
      <c r="A55" s="53"/>
      <c r="B55" s="47"/>
      <c r="C55" s="54"/>
      <c r="D55" s="261"/>
      <c r="E55" s="261"/>
      <c r="F55" s="261"/>
      <c r="G55" s="261"/>
      <c r="H55" s="261"/>
      <c r="I55" s="262"/>
      <c r="J55" s="101"/>
    </row>
    <row r="56" spans="1:12" ht="27.75" customHeight="1">
      <c r="A56" s="56" t="s">
        <v>42</v>
      </c>
      <c r="B56" s="36" t="s">
        <v>241</v>
      </c>
      <c r="C56" s="35" t="s">
        <v>216</v>
      </c>
      <c r="D56" s="260" t="s">
        <v>208</v>
      </c>
      <c r="E56" s="260" t="s">
        <v>209</v>
      </c>
      <c r="F56" s="260" t="s">
        <v>210</v>
      </c>
      <c r="G56" s="260" t="s">
        <v>211</v>
      </c>
      <c r="H56" s="260" t="s">
        <v>212</v>
      </c>
      <c r="I56" s="260" t="s">
        <v>213</v>
      </c>
      <c r="J56" s="85">
        <f>SUM(J58:J60)/2</f>
        <v>136.6</v>
      </c>
      <c r="K56" s="55"/>
      <c r="L56" s="39"/>
    </row>
    <row r="57" spans="1:10" ht="14.25">
      <c r="A57" s="43"/>
      <c r="B57" s="37" t="s">
        <v>467</v>
      </c>
      <c r="C57" s="44"/>
      <c r="D57" s="264"/>
      <c r="E57" s="264"/>
      <c r="F57" s="264"/>
      <c r="G57" s="264"/>
      <c r="H57" s="255"/>
      <c r="I57" s="263"/>
      <c r="J57" s="97"/>
    </row>
    <row r="58" spans="1:10" ht="14.25">
      <c r="A58" s="43"/>
      <c r="B58" s="37" t="s">
        <v>458</v>
      </c>
      <c r="C58" s="44"/>
      <c r="D58" s="264"/>
      <c r="E58" s="264">
        <v>25.54</v>
      </c>
      <c r="F58" s="264">
        <v>9.52</v>
      </c>
      <c r="G58" s="264"/>
      <c r="H58" s="255"/>
      <c r="I58" s="263"/>
      <c r="J58" s="97">
        <f>E58*F58</f>
        <v>243.14</v>
      </c>
    </row>
    <row r="59" spans="1:10" ht="14.25">
      <c r="A59" s="43"/>
      <c r="B59" s="37"/>
      <c r="C59" s="44"/>
      <c r="D59" s="264"/>
      <c r="E59" s="264">
        <v>3.97</v>
      </c>
      <c r="F59" s="264">
        <v>1.55</v>
      </c>
      <c r="G59" s="264"/>
      <c r="H59" s="255"/>
      <c r="I59" s="263"/>
      <c r="J59" s="97">
        <f>E59*F59</f>
        <v>6.15</v>
      </c>
    </row>
    <row r="60" spans="1:10" ht="14.25">
      <c r="A60" s="43"/>
      <c r="B60" s="37"/>
      <c r="C60" s="44"/>
      <c r="D60" s="264"/>
      <c r="E60" s="264">
        <v>3.73</v>
      </c>
      <c r="F60" s="264">
        <v>6.41</v>
      </c>
      <c r="G60" s="264"/>
      <c r="H60" s="255"/>
      <c r="I60" s="263"/>
      <c r="J60" s="97">
        <f>E60*F60</f>
        <v>23.91</v>
      </c>
    </row>
    <row r="61" spans="1:10" ht="14.25">
      <c r="A61" s="43"/>
      <c r="B61" s="111" t="s">
        <v>597</v>
      </c>
      <c r="C61" s="44"/>
      <c r="D61" s="264"/>
      <c r="E61" s="264"/>
      <c r="F61" s="264"/>
      <c r="G61" s="264"/>
      <c r="H61" s="255"/>
      <c r="I61" s="263"/>
      <c r="J61" s="97"/>
    </row>
    <row r="62" spans="1:10" ht="14.25">
      <c r="A62" s="43"/>
      <c r="B62" s="52"/>
      <c r="C62" s="50"/>
      <c r="D62" s="255"/>
      <c r="E62" s="255"/>
      <c r="F62" s="255"/>
      <c r="G62" s="255"/>
      <c r="H62" s="255"/>
      <c r="I62" s="256"/>
      <c r="J62" s="99"/>
    </row>
    <row r="63" spans="1:12" ht="14.25">
      <c r="A63" s="53"/>
      <c r="B63" s="47"/>
      <c r="C63" s="54"/>
      <c r="D63" s="261"/>
      <c r="E63" s="261"/>
      <c r="F63" s="261"/>
      <c r="G63" s="261"/>
      <c r="H63" s="261"/>
      <c r="I63" s="262"/>
      <c r="J63" s="101"/>
      <c r="L63" s="39"/>
    </row>
    <row r="64" spans="1:12" ht="29.25" customHeight="1">
      <c r="A64" s="56" t="s">
        <v>43</v>
      </c>
      <c r="B64" s="36" t="s">
        <v>242</v>
      </c>
      <c r="C64" s="35" t="s">
        <v>216</v>
      </c>
      <c r="D64" s="260" t="s">
        <v>208</v>
      </c>
      <c r="E64" s="260" t="s">
        <v>209</v>
      </c>
      <c r="F64" s="260" t="s">
        <v>210</v>
      </c>
      <c r="G64" s="260" t="s">
        <v>211</v>
      </c>
      <c r="H64" s="260" t="s">
        <v>212</v>
      </c>
      <c r="I64" s="260" t="s">
        <v>213</v>
      </c>
      <c r="J64" s="85">
        <f>SUM(J65:J72)</f>
        <v>8.61</v>
      </c>
      <c r="L64" s="55"/>
    </row>
    <row r="65" spans="1:12" ht="14.25">
      <c r="A65" s="43"/>
      <c r="B65" s="37" t="s">
        <v>454</v>
      </c>
      <c r="C65" s="44"/>
      <c r="D65" s="263"/>
      <c r="E65" s="263"/>
      <c r="F65" s="263"/>
      <c r="G65" s="263"/>
      <c r="H65" s="263"/>
      <c r="I65" s="263"/>
      <c r="J65" s="97"/>
      <c r="L65" s="39"/>
    </row>
    <row r="66" spans="1:12" ht="14.25">
      <c r="A66" s="43"/>
      <c r="B66" s="59" t="s">
        <v>460</v>
      </c>
      <c r="C66" s="44"/>
      <c r="D66" s="263">
        <v>1</v>
      </c>
      <c r="E66" s="263"/>
      <c r="F66" s="263">
        <v>0.7</v>
      </c>
      <c r="G66" s="263">
        <v>2.1</v>
      </c>
      <c r="H66" s="263"/>
      <c r="I66" s="263"/>
      <c r="J66" s="97">
        <f aca="true" t="shared" si="2" ref="J66:J71">G66*F66*D66</f>
        <v>1.47</v>
      </c>
      <c r="L66" s="39"/>
    </row>
    <row r="67" spans="1:12" ht="14.25">
      <c r="A67" s="43"/>
      <c r="B67" s="59" t="s">
        <v>461</v>
      </c>
      <c r="C67" s="44"/>
      <c r="D67" s="263">
        <v>1</v>
      </c>
      <c r="E67" s="263"/>
      <c r="F67" s="263">
        <v>0.6</v>
      </c>
      <c r="G67" s="263">
        <v>2.1</v>
      </c>
      <c r="H67" s="263"/>
      <c r="I67" s="263"/>
      <c r="J67" s="97">
        <f t="shared" si="2"/>
        <v>1.26</v>
      </c>
      <c r="L67" s="39"/>
    </row>
    <row r="68" spans="1:12" ht="14.25">
      <c r="A68" s="43"/>
      <c r="B68" s="59" t="s">
        <v>462</v>
      </c>
      <c r="C68" s="44"/>
      <c r="D68" s="263">
        <v>1</v>
      </c>
      <c r="E68" s="263"/>
      <c r="F68" s="263">
        <v>0.6</v>
      </c>
      <c r="G68" s="263">
        <v>2.1</v>
      </c>
      <c r="H68" s="263"/>
      <c r="I68" s="263"/>
      <c r="J68" s="97">
        <f t="shared" si="2"/>
        <v>1.26</v>
      </c>
      <c r="L68" s="39"/>
    </row>
    <row r="69" spans="1:12" ht="14.25">
      <c r="A69" s="43"/>
      <c r="B69" s="59"/>
      <c r="C69" s="44"/>
      <c r="D69" s="263">
        <v>1</v>
      </c>
      <c r="E69" s="263"/>
      <c r="F69" s="263">
        <v>0.7</v>
      </c>
      <c r="G69" s="263">
        <v>2.1</v>
      </c>
      <c r="H69" s="263"/>
      <c r="I69" s="263"/>
      <c r="J69" s="97">
        <f t="shared" si="2"/>
        <v>1.47</v>
      </c>
      <c r="L69" s="39"/>
    </row>
    <row r="70" spans="1:12" ht="14.25">
      <c r="A70" s="43"/>
      <c r="B70" s="59" t="s">
        <v>463</v>
      </c>
      <c r="C70" s="44"/>
      <c r="D70" s="263">
        <v>1</v>
      </c>
      <c r="E70" s="263"/>
      <c r="F70" s="263">
        <v>0.8</v>
      </c>
      <c r="G70" s="263">
        <v>2.1</v>
      </c>
      <c r="H70" s="263"/>
      <c r="I70" s="263"/>
      <c r="J70" s="97">
        <f t="shared" si="2"/>
        <v>1.68</v>
      </c>
      <c r="L70" s="39"/>
    </row>
    <row r="71" spans="1:12" ht="14.25">
      <c r="A71" s="43"/>
      <c r="B71" s="59" t="s">
        <v>464</v>
      </c>
      <c r="C71" s="44"/>
      <c r="D71" s="263">
        <v>1</v>
      </c>
      <c r="E71" s="263"/>
      <c r="F71" s="263">
        <v>0.7</v>
      </c>
      <c r="G71" s="263">
        <v>2.1</v>
      </c>
      <c r="H71" s="263"/>
      <c r="I71" s="263"/>
      <c r="J71" s="97">
        <f t="shared" si="2"/>
        <v>1.47</v>
      </c>
      <c r="L71" s="39"/>
    </row>
    <row r="72" spans="1:12" ht="14.25">
      <c r="A72" s="43"/>
      <c r="B72" s="59"/>
      <c r="C72" s="44"/>
      <c r="D72" s="263"/>
      <c r="E72" s="263"/>
      <c r="F72" s="263"/>
      <c r="G72" s="263"/>
      <c r="H72" s="263"/>
      <c r="I72" s="263"/>
      <c r="J72" s="97"/>
      <c r="L72" s="39"/>
    </row>
    <row r="73" spans="1:17" ht="14.25">
      <c r="A73" s="53"/>
      <c r="B73" s="47"/>
      <c r="C73" s="54"/>
      <c r="D73" s="261"/>
      <c r="E73" s="261"/>
      <c r="F73" s="261"/>
      <c r="G73" s="261"/>
      <c r="H73" s="261"/>
      <c r="I73" s="262"/>
      <c r="J73" s="100"/>
      <c r="L73" s="39"/>
      <c r="M73" s="39"/>
      <c r="N73" s="39"/>
      <c r="O73" s="39"/>
      <c r="P73" s="39"/>
      <c r="Q73" s="39"/>
    </row>
    <row r="74" spans="1:17" ht="15">
      <c r="A74" s="56" t="s">
        <v>44</v>
      </c>
      <c r="B74" s="36" t="s">
        <v>465</v>
      </c>
      <c r="C74" s="35" t="s">
        <v>216</v>
      </c>
      <c r="D74" s="260" t="s">
        <v>208</v>
      </c>
      <c r="E74" s="260" t="s">
        <v>209</v>
      </c>
      <c r="F74" s="260" t="s">
        <v>210</v>
      </c>
      <c r="G74" s="260" t="s">
        <v>211</v>
      </c>
      <c r="H74" s="260" t="s">
        <v>212</v>
      </c>
      <c r="I74" s="260" t="s">
        <v>213</v>
      </c>
      <c r="J74" s="85">
        <f>SUM(J75:J77)</f>
        <v>0.8</v>
      </c>
      <c r="L74" s="39"/>
      <c r="M74" s="39"/>
      <c r="N74" s="39"/>
      <c r="O74" s="39"/>
      <c r="P74" s="39"/>
      <c r="Q74" s="39"/>
    </row>
    <row r="75" spans="1:17" ht="14.25">
      <c r="A75" s="43"/>
      <c r="B75" s="37" t="s">
        <v>454</v>
      </c>
      <c r="C75" s="44"/>
      <c r="D75" s="263"/>
      <c r="E75" s="263"/>
      <c r="F75" s="263"/>
      <c r="G75" s="263"/>
      <c r="H75" s="263"/>
      <c r="I75" s="263"/>
      <c r="J75" s="97"/>
      <c r="L75" s="39"/>
      <c r="M75" s="39"/>
      <c r="N75" s="39"/>
      <c r="O75" s="39"/>
      <c r="P75" s="39"/>
      <c r="Q75" s="39"/>
    </row>
    <row r="76" spans="1:17" ht="14.25">
      <c r="A76" s="80"/>
      <c r="B76" s="59" t="s">
        <v>466</v>
      </c>
      <c r="C76" s="44"/>
      <c r="D76" s="263">
        <v>1</v>
      </c>
      <c r="E76" s="263"/>
      <c r="F76" s="263">
        <v>0.8</v>
      </c>
      <c r="G76" s="263">
        <v>1</v>
      </c>
      <c r="H76" s="263"/>
      <c r="I76" s="263"/>
      <c r="J76" s="97">
        <f>G76*F76*D76</f>
        <v>0.8</v>
      </c>
      <c r="L76" s="39"/>
      <c r="M76" s="39"/>
      <c r="N76" s="39"/>
      <c r="O76" s="39"/>
      <c r="P76" s="39"/>
      <c r="Q76" s="39"/>
    </row>
    <row r="77" spans="1:17" ht="14.25">
      <c r="A77" s="479"/>
      <c r="B77" s="59"/>
      <c r="C77" s="44"/>
      <c r="D77" s="263"/>
      <c r="E77" s="263"/>
      <c r="F77" s="263"/>
      <c r="G77" s="263"/>
      <c r="H77" s="263"/>
      <c r="I77" s="263"/>
      <c r="J77" s="97"/>
      <c r="L77" s="39"/>
      <c r="M77" s="39"/>
      <c r="N77" s="39"/>
      <c r="O77" s="39"/>
      <c r="P77" s="39"/>
      <c r="Q77" s="39"/>
    </row>
    <row r="78" spans="1:17" ht="14.25">
      <c r="A78" s="478"/>
      <c r="B78" s="482"/>
      <c r="C78" s="483"/>
      <c r="D78" s="484"/>
      <c r="E78" s="484"/>
      <c r="F78" s="484"/>
      <c r="G78" s="484"/>
      <c r="H78" s="484"/>
      <c r="I78" s="485"/>
      <c r="J78" s="486"/>
      <c r="L78" s="39"/>
      <c r="M78" s="39"/>
      <c r="N78" s="39"/>
      <c r="O78" s="39"/>
      <c r="P78" s="39"/>
      <c r="Q78" s="39"/>
    </row>
    <row r="79" spans="1:17" ht="15">
      <c r="A79" s="56" t="s">
        <v>45</v>
      </c>
      <c r="B79" s="36" t="s">
        <v>636</v>
      </c>
      <c r="C79" s="35" t="s">
        <v>216</v>
      </c>
      <c r="D79" s="260" t="s">
        <v>208</v>
      </c>
      <c r="E79" s="260" t="s">
        <v>209</v>
      </c>
      <c r="F79" s="260" t="s">
        <v>210</v>
      </c>
      <c r="G79" s="260" t="s">
        <v>211</v>
      </c>
      <c r="H79" s="260" t="s">
        <v>212</v>
      </c>
      <c r="I79" s="260" t="s">
        <v>213</v>
      </c>
      <c r="J79" s="85">
        <f>SUM(J80:J82)</f>
        <v>40.48</v>
      </c>
      <c r="L79" s="39"/>
      <c r="M79" s="39"/>
      <c r="N79" s="39"/>
      <c r="O79" s="39"/>
      <c r="P79" s="39"/>
      <c r="Q79" s="39"/>
    </row>
    <row r="80" spans="1:17" ht="14.25">
      <c r="A80" s="43"/>
      <c r="B80" s="37"/>
      <c r="C80" s="44"/>
      <c r="D80" s="263"/>
      <c r="E80" s="263"/>
      <c r="F80" s="263"/>
      <c r="G80" s="263"/>
      <c r="H80" s="263"/>
      <c r="I80" s="263"/>
      <c r="J80" s="97"/>
      <c r="L80" s="39"/>
      <c r="M80" s="39"/>
      <c r="N80" s="39"/>
      <c r="O80" s="39"/>
      <c r="P80" s="39"/>
      <c r="Q80" s="39"/>
    </row>
    <row r="81" spans="1:17" ht="14.25">
      <c r="A81" s="43"/>
      <c r="B81" s="59"/>
      <c r="C81" s="44"/>
      <c r="D81" s="263">
        <v>1</v>
      </c>
      <c r="E81" s="263"/>
      <c r="F81" s="263">
        <v>20.24</v>
      </c>
      <c r="G81" s="263">
        <v>2</v>
      </c>
      <c r="H81" s="263"/>
      <c r="I81" s="263"/>
      <c r="J81" s="97">
        <f>G81*F81*D81</f>
        <v>40.48</v>
      </c>
      <c r="L81" s="39"/>
      <c r="M81" s="39"/>
      <c r="N81" s="39"/>
      <c r="O81" s="39"/>
      <c r="P81" s="39"/>
      <c r="Q81" s="39"/>
    </row>
    <row r="82" spans="1:17" ht="14.25">
      <c r="A82" s="43"/>
      <c r="B82" s="59"/>
      <c r="C82" s="44"/>
      <c r="D82" s="263"/>
      <c r="E82" s="263"/>
      <c r="F82" s="263"/>
      <c r="G82" s="263"/>
      <c r="H82" s="263"/>
      <c r="I82" s="263"/>
      <c r="J82" s="97"/>
      <c r="L82" s="39"/>
      <c r="M82" s="39"/>
      <c r="N82" s="39"/>
      <c r="O82" s="39"/>
      <c r="P82" s="39"/>
      <c r="Q82" s="39"/>
    </row>
    <row r="83" spans="1:17" ht="14.25">
      <c r="A83" s="53"/>
      <c r="B83" s="47"/>
      <c r="C83" s="54"/>
      <c r="D83" s="261"/>
      <c r="E83" s="261"/>
      <c r="F83" s="261"/>
      <c r="G83" s="261"/>
      <c r="H83" s="261"/>
      <c r="I83" s="262"/>
      <c r="J83" s="100"/>
      <c r="L83" s="39"/>
      <c r="M83" s="39"/>
      <c r="N83" s="39"/>
      <c r="O83" s="39"/>
      <c r="P83" s="39"/>
      <c r="Q83" s="39"/>
    </row>
    <row r="84" spans="1:17" ht="58.5" customHeight="1">
      <c r="A84" s="60" t="s">
        <v>713</v>
      </c>
      <c r="B84" s="8" t="s">
        <v>243</v>
      </c>
      <c r="C84" s="35" t="s">
        <v>221</v>
      </c>
      <c r="D84" s="260" t="s">
        <v>208</v>
      </c>
      <c r="E84" s="260" t="s">
        <v>209</v>
      </c>
      <c r="F84" s="260" t="s">
        <v>210</v>
      </c>
      <c r="G84" s="260" t="s">
        <v>211</v>
      </c>
      <c r="H84" s="260" t="s">
        <v>212</v>
      </c>
      <c r="I84" s="260" t="s">
        <v>213</v>
      </c>
      <c r="J84" s="85">
        <f>SUM(J85:J98)</f>
        <v>26.56</v>
      </c>
      <c r="L84" s="55"/>
      <c r="M84" s="39"/>
      <c r="N84" s="39"/>
      <c r="O84" s="39"/>
      <c r="P84" s="39"/>
      <c r="Q84" s="39"/>
    </row>
    <row r="85" spans="1:17" ht="14.25">
      <c r="A85" s="554"/>
      <c r="B85" s="37" t="s">
        <v>454</v>
      </c>
      <c r="C85" s="44"/>
      <c r="D85" s="263"/>
      <c r="E85" s="263"/>
      <c r="F85" s="263"/>
      <c r="G85" s="263"/>
      <c r="H85" s="263"/>
      <c r="I85" s="263"/>
      <c r="J85" s="97"/>
      <c r="L85" s="55"/>
      <c r="M85" s="39"/>
      <c r="N85" s="39"/>
      <c r="O85" s="39"/>
      <c r="P85" s="39"/>
      <c r="Q85" s="39"/>
    </row>
    <row r="86" spans="1:17" ht="14.25">
      <c r="A86" s="555"/>
      <c r="B86" s="49" t="s">
        <v>455</v>
      </c>
      <c r="C86" s="50"/>
      <c r="D86" s="255">
        <v>1</v>
      </c>
      <c r="E86" s="255">
        <v>2.82</v>
      </c>
      <c r="F86" s="255">
        <v>0.2</v>
      </c>
      <c r="G86" s="255">
        <v>2.8</v>
      </c>
      <c r="H86" s="255"/>
      <c r="I86" s="256"/>
      <c r="J86" s="97">
        <f>G86*F86*E86*D86</f>
        <v>1.58</v>
      </c>
      <c r="L86" s="55"/>
      <c r="M86" s="39"/>
      <c r="N86" s="39"/>
      <c r="O86" s="39"/>
      <c r="P86" s="39"/>
      <c r="Q86" s="39"/>
    </row>
    <row r="87" spans="1:17" ht="14.25">
      <c r="A87" s="555"/>
      <c r="B87" s="49"/>
      <c r="C87" s="50"/>
      <c r="D87" s="255">
        <v>1</v>
      </c>
      <c r="E87" s="255">
        <v>6.8</v>
      </c>
      <c r="F87" s="255">
        <v>0.2</v>
      </c>
      <c r="G87" s="255">
        <v>2.8</v>
      </c>
      <c r="H87" s="255"/>
      <c r="I87" s="256"/>
      <c r="J87" s="97">
        <f aca="true" t="shared" si="3" ref="J87:J98">G87*F87*E87*D87</f>
        <v>3.81</v>
      </c>
      <c r="L87" s="55"/>
      <c r="M87" s="39"/>
      <c r="N87" s="39"/>
      <c r="O87" s="39"/>
      <c r="P87" s="39"/>
      <c r="Q87" s="39"/>
    </row>
    <row r="88" spans="1:17" ht="14.25">
      <c r="A88" s="555"/>
      <c r="B88" s="49"/>
      <c r="C88" s="50"/>
      <c r="D88" s="255">
        <v>1</v>
      </c>
      <c r="E88" s="255">
        <v>3.44</v>
      </c>
      <c r="F88" s="255">
        <v>0.2</v>
      </c>
      <c r="G88" s="255">
        <v>2.8</v>
      </c>
      <c r="H88" s="255"/>
      <c r="I88" s="256"/>
      <c r="J88" s="97">
        <f t="shared" si="3"/>
        <v>1.93</v>
      </c>
      <c r="L88" s="55"/>
      <c r="M88" s="39"/>
      <c r="N88" s="39"/>
      <c r="O88" s="39"/>
      <c r="P88" s="39"/>
      <c r="Q88" s="39"/>
    </row>
    <row r="89" spans="1:17" ht="14.25">
      <c r="A89" s="555"/>
      <c r="B89" s="49"/>
      <c r="C89" s="50"/>
      <c r="D89" s="255">
        <v>1</v>
      </c>
      <c r="E89" s="255">
        <v>2.02</v>
      </c>
      <c r="F89" s="255">
        <v>0.2</v>
      </c>
      <c r="G89" s="255">
        <v>2.8</v>
      </c>
      <c r="H89" s="255"/>
      <c r="I89" s="256"/>
      <c r="J89" s="97">
        <f t="shared" si="3"/>
        <v>1.13</v>
      </c>
      <c r="L89" s="55"/>
      <c r="M89" s="39"/>
      <c r="N89" s="39"/>
      <c r="O89" s="39"/>
      <c r="P89" s="39"/>
      <c r="Q89" s="39"/>
    </row>
    <row r="90" spans="1:17" ht="14.25">
      <c r="A90" s="555"/>
      <c r="B90" s="49"/>
      <c r="C90" s="50"/>
      <c r="D90" s="255">
        <v>2</v>
      </c>
      <c r="E90" s="255">
        <v>2.4</v>
      </c>
      <c r="F90" s="255">
        <v>0.2</v>
      </c>
      <c r="G90" s="255">
        <v>2.8</v>
      </c>
      <c r="H90" s="255"/>
      <c r="I90" s="256"/>
      <c r="J90" s="97">
        <f t="shared" si="3"/>
        <v>2.69</v>
      </c>
      <c r="L90" s="55"/>
      <c r="M90" s="39"/>
      <c r="N90" s="39"/>
      <c r="O90" s="39"/>
      <c r="P90" s="39"/>
      <c r="Q90" s="39"/>
    </row>
    <row r="91" spans="1:17" ht="14.25">
      <c r="A91" s="555"/>
      <c r="B91" s="49" t="s">
        <v>468</v>
      </c>
      <c r="C91" s="50"/>
      <c r="D91" s="255">
        <v>2</v>
      </c>
      <c r="E91" s="255">
        <v>3.6</v>
      </c>
      <c r="F91" s="255">
        <v>0.15</v>
      </c>
      <c r="G91" s="255">
        <v>2.8</v>
      </c>
      <c r="H91" s="255"/>
      <c r="I91" s="256"/>
      <c r="J91" s="97">
        <f t="shared" si="3"/>
        <v>3.02</v>
      </c>
      <c r="L91" s="55"/>
      <c r="M91" s="39"/>
      <c r="N91" s="39"/>
      <c r="O91" s="39"/>
      <c r="P91" s="39"/>
      <c r="Q91" s="39"/>
    </row>
    <row r="92" spans="1:17" ht="14.25">
      <c r="A92" s="555"/>
      <c r="B92" s="49"/>
      <c r="C92" s="50"/>
      <c r="D92" s="255">
        <v>2</v>
      </c>
      <c r="E92" s="255">
        <v>2.35</v>
      </c>
      <c r="F92" s="255">
        <v>0.15</v>
      </c>
      <c r="G92" s="255">
        <v>2.8</v>
      </c>
      <c r="H92" s="255"/>
      <c r="I92" s="256"/>
      <c r="J92" s="97">
        <f t="shared" si="3"/>
        <v>1.97</v>
      </c>
      <c r="L92" s="55"/>
      <c r="M92" s="39"/>
      <c r="N92" s="39"/>
      <c r="O92" s="39"/>
      <c r="P92" s="39"/>
      <c r="Q92" s="39"/>
    </row>
    <row r="93" spans="1:17" ht="14.25">
      <c r="A93" s="555"/>
      <c r="B93" s="49" t="s">
        <v>469</v>
      </c>
      <c r="C93" s="50"/>
      <c r="D93" s="255">
        <v>1</v>
      </c>
      <c r="E93" s="255">
        <v>2.84</v>
      </c>
      <c r="F93" s="255">
        <v>0.15</v>
      </c>
      <c r="G93" s="255">
        <v>2.8</v>
      </c>
      <c r="H93" s="255"/>
      <c r="I93" s="256"/>
      <c r="J93" s="97">
        <f t="shared" si="3"/>
        <v>1.19</v>
      </c>
      <c r="L93" s="55"/>
      <c r="M93" s="39"/>
      <c r="N93" s="39"/>
      <c r="O93" s="39"/>
      <c r="P93" s="39"/>
      <c r="Q93" s="39"/>
    </row>
    <row r="94" spans="1:17" ht="14.25">
      <c r="A94" s="555"/>
      <c r="B94" s="49"/>
      <c r="C94" s="50"/>
      <c r="D94" s="255">
        <v>1</v>
      </c>
      <c r="E94" s="255">
        <v>3.29</v>
      </c>
      <c r="F94" s="255">
        <v>0.15</v>
      </c>
      <c r="G94" s="255">
        <v>2.8</v>
      </c>
      <c r="H94" s="255"/>
      <c r="I94" s="256"/>
      <c r="J94" s="97">
        <f t="shared" si="3"/>
        <v>1.38</v>
      </c>
      <c r="L94" s="55"/>
      <c r="M94" s="39"/>
      <c r="N94" s="39"/>
      <c r="O94" s="39"/>
      <c r="P94" s="39"/>
      <c r="Q94" s="39"/>
    </row>
    <row r="95" spans="1:17" ht="14.25">
      <c r="A95" s="555"/>
      <c r="B95" s="49" t="s">
        <v>456</v>
      </c>
      <c r="C95" s="50"/>
      <c r="D95" s="255">
        <v>1</v>
      </c>
      <c r="E95" s="255">
        <v>1.8</v>
      </c>
      <c r="F95" s="255">
        <v>0.15</v>
      </c>
      <c r="G95" s="255">
        <v>2.8</v>
      </c>
      <c r="H95" s="255"/>
      <c r="I95" s="256"/>
      <c r="J95" s="97">
        <f t="shared" si="3"/>
        <v>0.76</v>
      </c>
      <c r="L95" s="55"/>
      <c r="M95" s="39"/>
      <c r="N95" s="39"/>
      <c r="O95" s="39"/>
      <c r="P95" s="39"/>
      <c r="Q95" s="39"/>
    </row>
    <row r="96" spans="1:17" ht="14.25">
      <c r="A96" s="555"/>
      <c r="B96" s="49"/>
      <c r="C96" s="50"/>
      <c r="D96" s="255">
        <v>1</v>
      </c>
      <c r="E96" s="255">
        <v>7.8</v>
      </c>
      <c r="F96" s="255">
        <v>0.15</v>
      </c>
      <c r="G96" s="255">
        <v>2.8</v>
      </c>
      <c r="H96" s="255"/>
      <c r="I96" s="256"/>
      <c r="J96" s="97">
        <f t="shared" si="3"/>
        <v>3.28</v>
      </c>
      <c r="L96" s="55"/>
      <c r="M96" s="39"/>
      <c r="N96" s="39"/>
      <c r="O96" s="39"/>
      <c r="P96" s="39"/>
      <c r="Q96" s="39"/>
    </row>
    <row r="97" spans="1:17" ht="14.25">
      <c r="A97" s="555"/>
      <c r="B97" s="49"/>
      <c r="C97" s="50"/>
      <c r="D97" s="255">
        <v>1</v>
      </c>
      <c r="E97" s="255">
        <v>4</v>
      </c>
      <c r="F97" s="255">
        <v>0.15</v>
      </c>
      <c r="G97" s="255">
        <v>2.8</v>
      </c>
      <c r="H97" s="255"/>
      <c r="I97" s="256"/>
      <c r="J97" s="97">
        <f t="shared" si="3"/>
        <v>1.68</v>
      </c>
      <c r="L97" s="55"/>
      <c r="M97" s="39"/>
      <c r="N97" s="39"/>
      <c r="O97" s="39"/>
      <c r="P97" s="39"/>
      <c r="Q97" s="39"/>
    </row>
    <row r="98" spans="1:17" ht="14.25">
      <c r="A98" s="555"/>
      <c r="B98" s="49" t="s">
        <v>457</v>
      </c>
      <c r="C98" s="50"/>
      <c r="D98" s="255">
        <v>1</v>
      </c>
      <c r="E98" s="255">
        <v>5.1</v>
      </c>
      <c r="F98" s="255">
        <v>0.15</v>
      </c>
      <c r="G98" s="255">
        <v>2.8</v>
      </c>
      <c r="H98" s="255"/>
      <c r="I98" s="256"/>
      <c r="J98" s="97">
        <f t="shared" si="3"/>
        <v>2.14</v>
      </c>
      <c r="L98" s="55"/>
      <c r="M98" s="39"/>
      <c r="N98" s="39"/>
      <c r="O98" s="39"/>
      <c r="P98" s="39"/>
      <c r="Q98" s="39"/>
    </row>
    <row r="99" spans="1:17" ht="14.25">
      <c r="A99" s="43"/>
      <c r="B99" s="52"/>
      <c r="C99" s="50"/>
      <c r="D99" s="255"/>
      <c r="E99" s="255"/>
      <c r="F99" s="255"/>
      <c r="G99" s="255"/>
      <c r="H99" s="255"/>
      <c r="I99" s="256"/>
      <c r="J99" s="99"/>
      <c r="L99" s="39"/>
      <c r="M99" s="39"/>
      <c r="N99" s="39"/>
      <c r="O99" s="39"/>
      <c r="P99" s="39"/>
      <c r="Q99" s="39"/>
    </row>
    <row r="100" spans="1:17" ht="14.25">
      <c r="A100" s="53"/>
      <c r="B100" s="47"/>
      <c r="C100" s="54"/>
      <c r="D100" s="261"/>
      <c r="E100" s="261"/>
      <c r="F100" s="261"/>
      <c r="G100" s="261"/>
      <c r="H100" s="261"/>
      <c r="I100" s="262"/>
      <c r="J100" s="100"/>
      <c r="L100" s="39"/>
      <c r="M100" s="39"/>
      <c r="N100" s="39"/>
      <c r="O100" s="39"/>
      <c r="P100" s="39"/>
      <c r="Q100" s="39"/>
    </row>
    <row r="101" spans="1:12" ht="15">
      <c r="A101" s="61" t="s">
        <v>46</v>
      </c>
      <c r="B101" s="62" t="s">
        <v>96</v>
      </c>
      <c r="C101" s="63"/>
      <c r="D101" s="266"/>
      <c r="E101" s="266"/>
      <c r="F101" s="266"/>
      <c r="G101" s="266"/>
      <c r="H101" s="266"/>
      <c r="I101" s="266"/>
      <c r="J101" s="103"/>
      <c r="L101" s="286"/>
    </row>
    <row r="102" spans="1:12" ht="51">
      <c r="A102" s="68" t="s">
        <v>6</v>
      </c>
      <c r="B102" s="20" t="s">
        <v>470</v>
      </c>
      <c r="C102" s="35" t="s">
        <v>220</v>
      </c>
      <c r="D102" s="260" t="s">
        <v>208</v>
      </c>
      <c r="E102" s="260" t="s">
        <v>209</v>
      </c>
      <c r="F102" s="260" t="s">
        <v>210</v>
      </c>
      <c r="G102" s="260" t="s">
        <v>211</v>
      </c>
      <c r="H102" s="260" t="s">
        <v>212</v>
      </c>
      <c r="I102" s="260" t="s">
        <v>213</v>
      </c>
      <c r="J102" s="85">
        <f>SUM(J103:J107)</f>
        <v>21</v>
      </c>
      <c r="L102" s="286"/>
    </row>
    <row r="103" spans="1:12" ht="15">
      <c r="A103" s="57"/>
      <c r="B103" s="385"/>
      <c r="C103" s="58"/>
      <c r="D103" s="265"/>
      <c r="E103" s="265"/>
      <c r="F103" s="265"/>
      <c r="G103" s="265"/>
      <c r="H103" s="265"/>
      <c r="I103" s="265"/>
      <c r="J103" s="102"/>
      <c r="L103" s="286"/>
    </row>
    <row r="104" spans="1:12" ht="14.25">
      <c r="A104" s="43"/>
      <c r="B104" s="49" t="s">
        <v>487</v>
      </c>
      <c r="C104" s="44"/>
      <c r="D104" s="263"/>
      <c r="E104" s="263"/>
      <c r="F104" s="263"/>
      <c r="G104" s="263"/>
      <c r="H104" s="263"/>
      <c r="I104" s="263"/>
      <c r="J104" s="97"/>
      <c r="L104" s="286"/>
    </row>
    <row r="105" spans="1:12" ht="14.25">
      <c r="A105" s="43"/>
      <c r="B105" s="49" t="s">
        <v>472</v>
      </c>
      <c r="C105" s="44"/>
      <c r="D105" s="263">
        <v>14</v>
      </c>
      <c r="E105" s="263"/>
      <c r="F105" s="263"/>
      <c r="G105" s="263">
        <v>1.5</v>
      </c>
      <c r="H105" s="263"/>
      <c r="I105" s="263"/>
      <c r="J105" s="97">
        <f>G105*D105</f>
        <v>21</v>
      </c>
      <c r="L105" s="286"/>
    </row>
    <row r="106" spans="1:12" ht="14.25">
      <c r="A106" s="43"/>
      <c r="B106" s="49"/>
      <c r="C106" s="44"/>
      <c r="D106" s="263"/>
      <c r="E106" s="263"/>
      <c r="F106" s="263"/>
      <c r="G106" s="263"/>
      <c r="H106" s="263"/>
      <c r="I106" s="263"/>
      <c r="J106" s="97"/>
      <c r="L106" s="286"/>
    </row>
    <row r="107" spans="1:17" ht="14.25">
      <c r="A107" s="53"/>
      <c r="B107" s="47"/>
      <c r="C107" s="54"/>
      <c r="D107" s="261"/>
      <c r="E107" s="261"/>
      <c r="F107" s="261"/>
      <c r="G107" s="261"/>
      <c r="H107" s="261"/>
      <c r="I107" s="262"/>
      <c r="J107" s="100"/>
      <c r="L107" s="39"/>
      <c r="M107" s="39"/>
      <c r="N107" s="39"/>
      <c r="O107" s="39"/>
      <c r="P107" s="39"/>
      <c r="Q107" s="39"/>
    </row>
    <row r="108" spans="1:17" ht="25.5">
      <c r="A108" s="68" t="s">
        <v>7</v>
      </c>
      <c r="B108" s="20" t="s">
        <v>474</v>
      </c>
      <c r="C108" s="35" t="s">
        <v>221</v>
      </c>
      <c r="D108" s="260" t="s">
        <v>208</v>
      </c>
      <c r="E108" s="260" t="s">
        <v>209</v>
      </c>
      <c r="F108" s="260" t="s">
        <v>210</v>
      </c>
      <c r="G108" s="260" t="s">
        <v>211</v>
      </c>
      <c r="H108" s="260" t="s">
        <v>212</v>
      </c>
      <c r="I108" s="260" t="s">
        <v>213</v>
      </c>
      <c r="J108" s="85">
        <f>J111</f>
        <v>3.77</v>
      </c>
      <c r="L108" s="39"/>
      <c r="M108" s="39"/>
      <c r="N108" s="39"/>
      <c r="O108" s="39"/>
      <c r="P108" s="39"/>
      <c r="Q108" s="39"/>
    </row>
    <row r="109" spans="1:17" ht="14.25">
      <c r="A109" s="43"/>
      <c r="B109" s="37"/>
      <c r="C109" s="44"/>
      <c r="D109" s="263"/>
      <c r="E109" s="263"/>
      <c r="F109" s="263"/>
      <c r="G109" s="263"/>
      <c r="H109" s="263"/>
      <c r="I109" s="263"/>
      <c r="J109" s="97"/>
      <c r="L109" s="39"/>
      <c r="M109" s="39"/>
      <c r="N109" s="39"/>
      <c r="O109" s="39"/>
      <c r="P109" s="39"/>
      <c r="Q109" s="39"/>
    </row>
    <row r="110" spans="1:17" ht="14.25">
      <c r="A110" s="43"/>
      <c r="B110" s="49" t="s">
        <v>487</v>
      </c>
      <c r="C110" s="44"/>
      <c r="D110" s="263"/>
      <c r="E110" s="263"/>
      <c r="F110" s="263"/>
      <c r="G110" s="263"/>
      <c r="H110" s="263"/>
      <c r="I110" s="263"/>
      <c r="J110" s="97"/>
      <c r="L110" s="39"/>
      <c r="M110" s="39"/>
      <c r="N110" s="39"/>
      <c r="O110" s="39"/>
      <c r="P110" s="39"/>
      <c r="Q110" s="39"/>
    </row>
    <row r="111" spans="1:17" ht="14.25">
      <c r="A111" s="43"/>
      <c r="B111" s="49" t="s">
        <v>475</v>
      </c>
      <c r="C111" s="44"/>
      <c r="D111" s="263">
        <v>14</v>
      </c>
      <c r="E111" s="263">
        <v>0.7</v>
      </c>
      <c r="F111" s="263">
        <v>0.7</v>
      </c>
      <c r="G111" s="263">
        <v>0.55</v>
      </c>
      <c r="H111" s="263"/>
      <c r="I111" s="263"/>
      <c r="J111" s="97">
        <f>D111*(E111*F111*G111)</f>
        <v>3.77</v>
      </c>
      <c r="L111" s="39"/>
      <c r="M111" s="39"/>
      <c r="N111" s="39"/>
      <c r="O111" s="39"/>
      <c r="P111" s="39"/>
      <c r="Q111" s="39"/>
    </row>
    <row r="112" spans="1:17" ht="14.25">
      <c r="A112" s="43"/>
      <c r="B112" s="49"/>
      <c r="C112" s="44"/>
      <c r="D112" s="263"/>
      <c r="E112" s="263"/>
      <c r="F112" s="263"/>
      <c r="G112" s="263"/>
      <c r="H112" s="263"/>
      <c r="I112" s="263"/>
      <c r="J112" s="97"/>
      <c r="L112" s="39"/>
      <c r="M112" s="39"/>
      <c r="N112" s="39"/>
      <c r="O112" s="39"/>
      <c r="P112" s="39"/>
      <c r="Q112" s="39"/>
    </row>
    <row r="113" spans="1:17" ht="14.25">
      <c r="A113" s="53"/>
      <c r="B113" s="47"/>
      <c r="C113" s="54"/>
      <c r="D113" s="261"/>
      <c r="E113" s="261"/>
      <c r="F113" s="261"/>
      <c r="G113" s="261"/>
      <c r="H113" s="261"/>
      <c r="I113" s="262"/>
      <c r="J113" s="100"/>
      <c r="L113" s="39"/>
      <c r="M113" s="39"/>
      <c r="N113" s="39"/>
      <c r="O113" s="39"/>
      <c r="P113" s="39"/>
      <c r="Q113" s="39"/>
    </row>
    <row r="114" spans="1:12" ht="57">
      <c r="A114" s="33" t="s">
        <v>30</v>
      </c>
      <c r="B114" s="34" t="s">
        <v>244</v>
      </c>
      <c r="C114" s="35" t="s">
        <v>216</v>
      </c>
      <c r="D114" s="260" t="s">
        <v>208</v>
      </c>
      <c r="E114" s="260" t="s">
        <v>209</v>
      </c>
      <c r="F114" s="260" t="s">
        <v>210</v>
      </c>
      <c r="G114" s="260" t="s">
        <v>211</v>
      </c>
      <c r="H114" s="260" t="s">
        <v>212</v>
      </c>
      <c r="I114" s="260" t="s">
        <v>213</v>
      </c>
      <c r="J114" s="85">
        <f>SUM(J115:J118)</f>
        <v>100.46</v>
      </c>
      <c r="L114" s="283"/>
    </row>
    <row r="115" spans="1:12" ht="14.25">
      <c r="A115" s="43"/>
      <c r="B115" s="49" t="s">
        <v>444</v>
      </c>
      <c r="C115" s="50"/>
      <c r="D115" s="255"/>
      <c r="E115" s="255"/>
      <c r="F115" s="255"/>
      <c r="G115" s="255"/>
      <c r="H115" s="255"/>
      <c r="I115" s="256"/>
      <c r="J115" s="99">
        <v>24.22</v>
      </c>
      <c r="L115" s="283"/>
    </row>
    <row r="116" spans="1:12" ht="14.25">
      <c r="A116" s="43"/>
      <c r="B116" s="49" t="s">
        <v>445</v>
      </c>
      <c r="C116" s="50"/>
      <c r="D116" s="255"/>
      <c r="E116" s="255"/>
      <c r="F116" s="255"/>
      <c r="G116" s="255"/>
      <c r="H116" s="255"/>
      <c r="I116" s="256"/>
      <c r="J116" s="99">
        <v>36.54</v>
      </c>
      <c r="L116" s="283"/>
    </row>
    <row r="117" spans="1:12" ht="14.25">
      <c r="A117" s="43"/>
      <c r="B117" s="64" t="s">
        <v>446</v>
      </c>
      <c r="C117" s="65"/>
      <c r="D117" s="267"/>
      <c r="E117" s="267"/>
      <c r="F117" s="267"/>
      <c r="G117" s="267"/>
      <c r="H117" s="267"/>
      <c r="I117" s="268"/>
      <c r="J117" s="104">
        <v>9.17</v>
      </c>
      <c r="L117" s="283"/>
    </row>
    <row r="118" spans="1:12" ht="14.25">
      <c r="A118" s="43"/>
      <c r="B118" s="64" t="s">
        <v>447</v>
      </c>
      <c r="C118" s="65"/>
      <c r="D118" s="267"/>
      <c r="E118" s="267"/>
      <c r="F118" s="267"/>
      <c r="G118" s="267"/>
      <c r="H118" s="267"/>
      <c r="I118" s="268"/>
      <c r="J118" s="104">
        <v>30.53</v>
      </c>
      <c r="L118" s="283"/>
    </row>
    <row r="119" spans="1:12" ht="14.25">
      <c r="A119" s="43"/>
      <c r="B119" s="52"/>
      <c r="C119" s="50"/>
      <c r="D119" s="255"/>
      <c r="E119" s="255"/>
      <c r="F119" s="255"/>
      <c r="G119" s="255"/>
      <c r="H119" s="255"/>
      <c r="I119" s="256"/>
      <c r="J119" s="99"/>
      <c r="L119" s="283"/>
    </row>
    <row r="120" spans="1:12" ht="14.25">
      <c r="A120" s="53"/>
      <c r="B120" s="47"/>
      <c r="C120" s="54"/>
      <c r="D120" s="261"/>
      <c r="E120" s="261"/>
      <c r="F120" s="261"/>
      <c r="G120" s="261"/>
      <c r="H120" s="261"/>
      <c r="I120" s="262"/>
      <c r="J120" s="100"/>
      <c r="L120" s="283"/>
    </row>
    <row r="121" spans="1:12" ht="57">
      <c r="A121" s="66" t="s">
        <v>8</v>
      </c>
      <c r="B121" s="34" t="s">
        <v>245</v>
      </c>
      <c r="C121" s="35" t="s">
        <v>221</v>
      </c>
      <c r="D121" s="260" t="s">
        <v>208</v>
      </c>
      <c r="E121" s="260" t="s">
        <v>209</v>
      </c>
      <c r="F121" s="260" t="s">
        <v>210</v>
      </c>
      <c r="G121" s="260" t="s">
        <v>211</v>
      </c>
      <c r="H121" s="260" t="s">
        <v>212</v>
      </c>
      <c r="I121" s="260" t="s">
        <v>213</v>
      </c>
      <c r="J121" s="85">
        <f>SUM(J122:J125)</f>
        <v>4.69</v>
      </c>
      <c r="K121" s="55"/>
      <c r="L121" s="283"/>
    </row>
    <row r="122" spans="1:12" ht="14.25">
      <c r="A122" s="57"/>
      <c r="B122" s="49" t="s">
        <v>444</v>
      </c>
      <c r="C122" s="50"/>
      <c r="D122" s="255"/>
      <c r="E122" s="255"/>
      <c r="F122" s="255"/>
      <c r="G122" s="255"/>
      <c r="H122" s="255"/>
      <c r="I122" s="255"/>
      <c r="J122" s="102">
        <v>0.44</v>
      </c>
      <c r="L122" s="283"/>
    </row>
    <row r="123" spans="1:12" ht="14.25">
      <c r="A123" s="43"/>
      <c r="B123" s="49" t="s">
        <v>445</v>
      </c>
      <c r="C123" s="50"/>
      <c r="D123" s="255"/>
      <c r="E123" s="255"/>
      <c r="F123" s="255"/>
      <c r="G123" s="255"/>
      <c r="H123" s="255"/>
      <c r="I123" s="255"/>
      <c r="J123" s="97">
        <v>1.83</v>
      </c>
      <c r="L123" s="283"/>
    </row>
    <row r="124" spans="1:12" ht="14.25">
      <c r="A124" s="43"/>
      <c r="B124" s="64" t="s">
        <v>446</v>
      </c>
      <c r="C124" s="50"/>
      <c r="D124" s="255"/>
      <c r="E124" s="255"/>
      <c r="F124" s="255"/>
      <c r="G124" s="255"/>
      <c r="H124" s="255"/>
      <c r="I124" s="255"/>
      <c r="J124" s="97">
        <v>0.57</v>
      </c>
      <c r="L124" s="283"/>
    </row>
    <row r="125" spans="1:12" ht="14.25">
      <c r="A125" s="43"/>
      <c r="B125" s="64" t="s">
        <v>447</v>
      </c>
      <c r="C125" s="50"/>
      <c r="D125" s="255"/>
      <c r="E125" s="255"/>
      <c r="F125" s="255"/>
      <c r="G125" s="255"/>
      <c r="H125" s="255"/>
      <c r="I125" s="256"/>
      <c r="J125" s="99">
        <v>1.85</v>
      </c>
      <c r="L125" s="39"/>
    </row>
    <row r="126" spans="1:12" ht="14.25">
      <c r="A126" s="479"/>
      <c r="B126" s="64"/>
      <c r="C126" s="50"/>
      <c r="D126" s="255"/>
      <c r="E126" s="255"/>
      <c r="F126" s="255"/>
      <c r="G126" s="255"/>
      <c r="H126" s="255"/>
      <c r="I126" s="256"/>
      <c r="J126" s="99"/>
      <c r="L126" s="39"/>
    </row>
    <row r="127" spans="1:12" ht="14.25">
      <c r="A127" s="478"/>
      <c r="B127" s="47"/>
      <c r="C127" s="54"/>
      <c r="D127" s="261"/>
      <c r="E127" s="261"/>
      <c r="F127" s="261"/>
      <c r="G127" s="261"/>
      <c r="H127" s="261"/>
      <c r="I127" s="262"/>
      <c r="J127" s="100"/>
      <c r="L127" s="283"/>
    </row>
    <row r="128" spans="1:12" ht="57">
      <c r="A128" s="66" t="s">
        <v>47</v>
      </c>
      <c r="B128" s="34" t="s">
        <v>449</v>
      </c>
      <c r="C128" s="35" t="s">
        <v>221</v>
      </c>
      <c r="D128" s="260" t="s">
        <v>208</v>
      </c>
      <c r="E128" s="260" t="s">
        <v>209</v>
      </c>
      <c r="F128" s="260" t="s">
        <v>210</v>
      </c>
      <c r="G128" s="260" t="s">
        <v>211</v>
      </c>
      <c r="H128" s="260" t="s">
        <v>212</v>
      </c>
      <c r="I128" s="260" t="s">
        <v>213</v>
      </c>
      <c r="J128" s="85">
        <f>J129</f>
        <v>1.78</v>
      </c>
      <c r="L128" s="39"/>
    </row>
    <row r="129" spans="1:10" ht="14.25">
      <c r="A129" s="43"/>
      <c r="B129" s="49" t="s">
        <v>444</v>
      </c>
      <c r="C129" s="50"/>
      <c r="D129" s="255"/>
      <c r="E129" s="255"/>
      <c r="F129" s="255"/>
      <c r="G129" s="255"/>
      <c r="H129" s="255"/>
      <c r="I129" s="256"/>
      <c r="J129" s="99">
        <v>1.78</v>
      </c>
    </row>
    <row r="130" spans="1:10" ht="14.25">
      <c r="A130" s="43"/>
      <c r="B130" s="52"/>
      <c r="C130" s="50"/>
      <c r="D130" s="255"/>
      <c r="E130" s="255"/>
      <c r="F130" s="255"/>
      <c r="G130" s="255"/>
      <c r="H130" s="255"/>
      <c r="I130" s="256"/>
      <c r="J130" s="99"/>
    </row>
    <row r="131" spans="1:10" ht="14.25">
      <c r="A131" s="53"/>
      <c r="B131" s="47"/>
      <c r="C131" s="54"/>
      <c r="D131" s="261"/>
      <c r="E131" s="261"/>
      <c r="F131" s="261"/>
      <c r="G131" s="261"/>
      <c r="H131" s="261"/>
      <c r="I131" s="262"/>
      <c r="J131" s="100"/>
    </row>
    <row r="132" spans="1:10" ht="42.75">
      <c r="A132" s="33" t="s">
        <v>48</v>
      </c>
      <c r="B132" s="34" t="s">
        <v>246</v>
      </c>
      <c r="C132" s="35" t="s">
        <v>247</v>
      </c>
      <c r="D132" s="260" t="s">
        <v>208</v>
      </c>
      <c r="E132" s="260" t="s">
        <v>209</v>
      </c>
      <c r="F132" s="260" t="s">
        <v>210</v>
      </c>
      <c r="G132" s="260" t="s">
        <v>211</v>
      </c>
      <c r="H132" s="260" t="s">
        <v>212</v>
      </c>
      <c r="I132" s="260" t="s">
        <v>213</v>
      </c>
      <c r="J132" s="85">
        <f>SUM(J133:J136)</f>
        <v>306.88</v>
      </c>
    </row>
    <row r="133" spans="1:10" ht="14.25">
      <c r="A133" s="67"/>
      <c r="B133" s="49" t="s">
        <v>444</v>
      </c>
      <c r="C133" s="50"/>
      <c r="D133" s="255"/>
      <c r="E133" s="255"/>
      <c r="F133" s="255"/>
      <c r="G133" s="255"/>
      <c r="H133" s="255"/>
      <c r="I133" s="256"/>
      <c r="J133" s="99">
        <v>66.28</v>
      </c>
    </row>
    <row r="134" spans="1:10" ht="14.25">
      <c r="A134" s="43"/>
      <c r="B134" s="49" t="s">
        <v>445</v>
      </c>
      <c r="C134" s="50"/>
      <c r="D134" s="255"/>
      <c r="E134" s="255"/>
      <c r="F134" s="255"/>
      <c r="G134" s="255"/>
      <c r="H134" s="255"/>
      <c r="I134" s="256"/>
      <c r="J134" s="99">
        <v>109</v>
      </c>
    </row>
    <row r="135" spans="1:10" ht="14.25">
      <c r="A135" s="479"/>
      <c r="B135" s="64" t="s">
        <v>446</v>
      </c>
      <c r="C135" s="50"/>
      <c r="D135" s="255"/>
      <c r="E135" s="255"/>
      <c r="F135" s="255"/>
      <c r="G135" s="255"/>
      <c r="H135" s="255"/>
      <c r="I135" s="256"/>
      <c r="J135" s="99">
        <v>23.4</v>
      </c>
    </row>
    <row r="136" spans="1:10" ht="14.25">
      <c r="A136" s="43"/>
      <c r="B136" s="64" t="s">
        <v>447</v>
      </c>
      <c r="C136" s="50"/>
      <c r="D136" s="255"/>
      <c r="E136" s="255"/>
      <c r="F136" s="255"/>
      <c r="G136" s="255"/>
      <c r="H136" s="255"/>
      <c r="I136" s="256"/>
      <c r="J136" s="99">
        <v>108.2</v>
      </c>
    </row>
    <row r="137" spans="1:10" ht="14.25">
      <c r="A137" s="43"/>
      <c r="B137" s="49"/>
      <c r="C137" s="50"/>
      <c r="D137" s="255"/>
      <c r="E137" s="255"/>
      <c r="F137" s="255"/>
      <c r="G137" s="255"/>
      <c r="H137" s="255"/>
      <c r="I137" s="256"/>
      <c r="J137" s="99"/>
    </row>
    <row r="138" spans="1:10" ht="14.25">
      <c r="A138" s="53"/>
      <c r="B138" s="47"/>
      <c r="C138" s="54"/>
      <c r="D138" s="261"/>
      <c r="E138" s="261"/>
      <c r="F138" s="261"/>
      <c r="G138" s="261"/>
      <c r="H138" s="261"/>
      <c r="I138" s="262"/>
      <c r="J138" s="100"/>
    </row>
    <row r="139" spans="1:10" ht="42.75">
      <c r="A139" s="33" t="s">
        <v>488</v>
      </c>
      <c r="B139" s="34" t="s">
        <v>248</v>
      </c>
      <c r="C139" s="35" t="s">
        <v>247</v>
      </c>
      <c r="D139" s="260" t="s">
        <v>208</v>
      </c>
      <c r="E139" s="260" t="s">
        <v>209</v>
      </c>
      <c r="F139" s="260" t="s">
        <v>210</v>
      </c>
      <c r="G139" s="260" t="s">
        <v>211</v>
      </c>
      <c r="H139" s="260" t="s">
        <v>212</v>
      </c>
      <c r="I139" s="260" t="s">
        <v>213</v>
      </c>
      <c r="J139" s="85">
        <f>SUM(J140:J143)</f>
        <v>106.4</v>
      </c>
    </row>
    <row r="140" spans="1:10" ht="14.25">
      <c r="A140" s="43"/>
      <c r="B140" s="49" t="s">
        <v>444</v>
      </c>
      <c r="C140" s="50"/>
      <c r="D140" s="255"/>
      <c r="E140" s="255"/>
      <c r="F140" s="269"/>
      <c r="G140" s="269"/>
      <c r="H140" s="255"/>
      <c r="I140" s="269"/>
      <c r="J140" s="99">
        <v>18.1</v>
      </c>
    </row>
    <row r="141" spans="1:10" ht="14.25">
      <c r="A141" s="43"/>
      <c r="B141" s="49" t="s">
        <v>445</v>
      </c>
      <c r="C141" s="50"/>
      <c r="D141" s="270"/>
      <c r="E141" s="255"/>
      <c r="F141" s="269"/>
      <c r="G141" s="269"/>
      <c r="H141" s="255"/>
      <c r="I141" s="269"/>
      <c r="J141" s="105">
        <v>45.7</v>
      </c>
    </row>
    <row r="142" spans="1:10" ht="14.25">
      <c r="A142" s="43"/>
      <c r="B142" s="64" t="s">
        <v>446</v>
      </c>
      <c r="C142" s="50"/>
      <c r="D142" s="270"/>
      <c r="E142" s="255"/>
      <c r="F142" s="269"/>
      <c r="G142" s="269"/>
      <c r="H142" s="255"/>
      <c r="I142" s="269"/>
      <c r="J142" s="105">
        <v>9.1</v>
      </c>
    </row>
    <row r="143" spans="1:10" ht="14.25">
      <c r="A143" s="43"/>
      <c r="B143" s="64" t="s">
        <v>447</v>
      </c>
      <c r="C143" s="50"/>
      <c r="D143" s="270"/>
      <c r="E143" s="255"/>
      <c r="F143" s="269"/>
      <c r="G143" s="269"/>
      <c r="H143" s="255"/>
      <c r="I143" s="269"/>
      <c r="J143" s="105">
        <v>33.5</v>
      </c>
    </row>
    <row r="144" spans="1:10" ht="14.25">
      <c r="A144" s="43"/>
      <c r="B144" s="64"/>
      <c r="C144" s="50"/>
      <c r="D144" s="270"/>
      <c r="E144" s="255"/>
      <c r="F144" s="269"/>
      <c r="G144" s="269"/>
      <c r="H144" s="255"/>
      <c r="I144" s="269"/>
      <c r="J144" s="105"/>
    </row>
    <row r="145" spans="1:10" ht="14.25">
      <c r="A145" s="53"/>
      <c r="B145" s="47"/>
      <c r="C145" s="54"/>
      <c r="D145" s="261"/>
      <c r="E145" s="261"/>
      <c r="F145" s="261"/>
      <c r="G145" s="261"/>
      <c r="H145" s="261"/>
      <c r="I145" s="262"/>
      <c r="J145" s="100"/>
    </row>
    <row r="146" spans="1:12" ht="42.75">
      <c r="A146" s="33" t="s">
        <v>489</v>
      </c>
      <c r="B146" s="34" t="s">
        <v>249</v>
      </c>
      <c r="C146" s="35" t="s">
        <v>221</v>
      </c>
      <c r="D146" s="260" t="s">
        <v>208</v>
      </c>
      <c r="E146" s="260" t="s">
        <v>209</v>
      </c>
      <c r="F146" s="260" t="s">
        <v>210</v>
      </c>
      <c r="G146" s="260" t="s">
        <v>211</v>
      </c>
      <c r="H146" s="260" t="s">
        <v>212</v>
      </c>
      <c r="I146" s="260" t="s">
        <v>213</v>
      </c>
      <c r="J146" s="85">
        <f>J147</f>
        <v>0.12</v>
      </c>
      <c r="L146" s="55"/>
    </row>
    <row r="147" spans="1:10" ht="14.25">
      <c r="A147" s="43"/>
      <c r="B147" s="64" t="s">
        <v>250</v>
      </c>
      <c r="C147" s="51"/>
      <c r="D147" s="271"/>
      <c r="E147" s="255"/>
      <c r="F147" s="255"/>
      <c r="G147" s="255"/>
      <c r="H147" s="290"/>
      <c r="I147" s="256"/>
      <c r="J147" s="99">
        <v>0.12</v>
      </c>
    </row>
    <row r="148" spans="1:10" ht="15" customHeight="1">
      <c r="A148" s="43"/>
      <c r="B148" s="64"/>
      <c r="C148" s="51"/>
      <c r="D148" s="271"/>
      <c r="E148" s="255"/>
      <c r="F148" s="255"/>
      <c r="G148" s="255"/>
      <c r="H148" s="255"/>
      <c r="I148" s="256"/>
      <c r="J148" s="99"/>
    </row>
    <row r="149" spans="1:18" ht="14.25">
      <c r="A149" s="53"/>
      <c r="B149" s="47"/>
      <c r="C149" s="54"/>
      <c r="D149" s="261"/>
      <c r="E149" s="261"/>
      <c r="F149" s="261"/>
      <c r="G149" s="261"/>
      <c r="H149" s="261"/>
      <c r="I149" s="262"/>
      <c r="J149" s="100"/>
      <c r="P149" s="38" t="e">
        <f>#REF!*0.2</f>
        <v>#REF!</v>
      </c>
      <c r="R149" s="38" t="e">
        <f>#REF!*0.05</f>
        <v>#REF!</v>
      </c>
    </row>
    <row r="150" spans="1:12" ht="15">
      <c r="A150" s="61" t="s">
        <v>49</v>
      </c>
      <c r="B150" s="62" t="s">
        <v>251</v>
      </c>
      <c r="C150" s="63"/>
      <c r="D150" s="266"/>
      <c r="E150" s="266"/>
      <c r="F150" s="266"/>
      <c r="G150" s="266"/>
      <c r="H150" s="266"/>
      <c r="I150" s="266"/>
      <c r="J150" s="103"/>
      <c r="L150" s="39"/>
    </row>
    <row r="151" spans="1:12" ht="51">
      <c r="A151" s="68" t="s">
        <v>9</v>
      </c>
      <c r="B151" s="20" t="s">
        <v>470</v>
      </c>
      <c r="C151" s="35" t="s">
        <v>220</v>
      </c>
      <c r="D151" s="260" t="s">
        <v>208</v>
      </c>
      <c r="E151" s="260" t="s">
        <v>209</v>
      </c>
      <c r="F151" s="260" t="s">
        <v>210</v>
      </c>
      <c r="G151" s="260" t="s">
        <v>211</v>
      </c>
      <c r="H151" s="260" t="s">
        <v>212</v>
      </c>
      <c r="I151" s="260" t="s">
        <v>213</v>
      </c>
      <c r="J151" s="85">
        <f>SUM(J152:J156)</f>
        <v>79</v>
      </c>
      <c r="L151" s="55"/>
    </row>
    <row r="152" spans="1:10" ht="15">
      <c r="A152" s="57"/>
      <c r="B152" s="385"/>
      <c r="C152" s="58"/>
      <c r="D152" s="265"/>
      <c r="E152" s="265"/>
      <c r="F152" s="265"/>
      <c r="G152" s="265"/>
      <c r="H152" s="265" t="s">
        <v>376</v>
      </c>
      <c r="I152" s="265"/>
      <c r="J152" s="102"/>
    </row>
    <row r="153" spans="1:10" ht="14.25">
      <c r="A153" s="43"/>
      <c r="B153" s="49" t="s">
        <v>471</v>
      </c>
      <c r="C153" s="44"/>
      <c r="D153" s="263"/>
      <c r="E153" s="263"/>
      <c r="F153" s="263"/>
      <c r="G153" s="263"/>
      <c r="H153" s="263"/>
      <c r="I153" s="263"/>
      <c r="J153" s="97"/>
    </row>
    <row r="154" spans="1:10" ht="14.25">
      <c r="A154" s="43"/>
      <c r="B154" s="49" t="s">
        <v>472</v>
      </c>
      <c r="C154" s="44"/>
      <c r="D154" s="263">
        <v>10</v>
      </c>
      <c r="E154" s="263"/>
      <c r="F154" s="263"/>
      <c r="G154" s="263">
        <v>5</v>
      </c>
      <c r="H154" s="263"/>
      <c r="I154" s="263"/>
      <c r="J154" s="97">
        <f>G154*D154</f>
        <v>50</v>
      </c>
    </row>
    <row r="155" spans="1:10" ht="14.25">
      <c r="A155" s="43"/>
      <c r="B155" s="49"/>
      <c r="C155" s="44"/>
      <c r="D155" s="263">
        <v>9</v>
      </c>
      <c r="E155" s="263"/>
      <c r="F155" s="263"/>
      <c r="G155" s="263">
        <v>3</v>
      </c>
      <c r="H155" s="263"/>
      <c r="I155" s="263"/>
      <c r="J155" s="97">
        <f>G155*D155</f>
        <v>27</v>
      </c>
    </row>
    <row r="156" spans="1:10" ht="14.25">
      <c r="A156" s="43"/>
      <c r="B156" s="86"/>
      <c r="C156" s="44"/>
      <c r="D156" s="263">
        <v>2</v>
      </c>
      <c r="E156" s="263"/>
      <c r="F156" s="263"/>
      <c r="G156" s="263">
        <v>1</v>
      </c>
      <c r="H156" s="263"/>
      <c r="I156" s="263"/>
      <c r="J156" s="97">
        <f>G156*D156</f>
        <v>2</v>
      </c>
    </row>
    <row r="157" spans="1:10" ht="14.25">
      <c r="A157" s="43"/>
      <c r="B157" s="49"/>
      <c r="C157" s="44"/>
      <c r="D157" s="263"/>
      <c r="E157" s="263"/>
      <c r="F157" s="263"/>
      <c r="G157" s="263"/>
      <c r="H157" s="263"/>
      <c r="I157" s="263"/>
      <c r="J157" s="97"/>
    </row>
    <row r="158" spans="1:10" ht="14.25">
      <c r="A158" s="53"/>
      <c r="B158" s="47"/>
      <c r="C158" s="54"/>
      <c r="D158" s="261"/>
      <c r="E158" s="261"/>
      <c r="F158" s="261"/>
      <c r="G158" s="261"/>
      <c r="H158" s="261"/>
      <c r="I158" s="262"/>
      <c r="J158" s="100"/>
    </row>
    <row r="159" spans="1:12" ht="25.5">
      <c r="A159" s="68" t="s">
        <v>50</v>
      </c>
      <c r="B159" s="20" t="s">
        <v>474</v>
      </c>
      <c r="C159" s="35" t="s">
        <v>221</v>
      </c>
      <c r="D159" s="260" t="s">
        <v>208</v>
      </c>
      <c r="E159" s="260" t="s">
        <v>209</v>
      </c>
      <c r="F159" s="260" t="s">
        <v>210</v>
      </c>
      <c r="G159" s="260" t="s">
        <v>211</v>
      </c>
      <c r="H159" s="260" t="s">
        <v>212</v>
      </c>
      <c r="I159" s="260" t="s">
        <v>213</v>
      </c>
      <c r="J159" s="85">
        <f>J162</f>
        <v>6.69</v>
      </c>
      <c r="L159" s="55"/>
    </row>
    <row r="160" spans="1:10" ht="14.25">
      <c r="A160" s="43"/>
      <c r="B160" s="37"/>
      <c r="C160" s="44"/>
      <c r="D160" s="263"/>
      <c r="E160" s="263"/>
      <c r="F160" s="263"/>
      <c r="G160" s="263"/>
      <c r="H160" s="263"/>
      <c r="I160" s="263"/>
      <c r="J160" s="97"/>
    </row>
    <row r="161" spans="1:10" ht="14.25">
      <c r="A161" s="43"/>
      <c r="B161" s="49" t="s">
        <v>477</v>
      </c>
      <c r="C161" s="44"/>
      <c r="D161" s="263"/>
      <c r="E161" s="263"/>
      <c r="F161" s="263"/>
      <c r="G161" s="263"/>
      <c r="H161" s="263"/>
      <c r="I161" s="263"/>
      <c r="J161" s="97"/>
    </row>
    <row r="162" spans="1:10" ht="14.25">
      <c r="A162" s="43"/>
      <c r="B162" s="49" t="s">
        <v>475</v>
      </c>
      <c r="C162" s="44"/>
      <c r="D162" s="263">
        <v>21</v>
      </c>
      <c r="E162" s="263">
        <v>0.7</v>
      </c>
      <c r="F162" s="263">
        <v>0.7</v>
      </c>
      <c r="G162" s="263">
        <v>0.65</v>
      </c>
      <c r="H162" s="263"/>
      <c r="I162" s="263"/>
      <c r="J162" s="97">
        <f>D162*(E162*F162*G162)</f>
        <v>6.69</v>
      </c>
    </row>
    <row r="163" spans="1:10" ht="14.25">
      <c r="A163" s="43"/>
      <c r="B163" s="49"/>
      <c r="C163" s="44"/>
      <c r="D163" s="263"/>
      <c r="E163" s="263"/>
      <c r="F163" s="263"/>
      <c r="G163" s="263"/>
      <c r="H163" s="263"/>
      <c r="I163" s="263"/>
      <c r="J163" s="97"/>
    </row>
    <row r="164" spans="1:10" ht="14.25">
      <c r="A164" s="53"/>
      <c r="B164" s="47"/>
      <c r="C164" s="54"/>
      <c r="D164" s="261"/>
      <c r="E164" s="261"/>
      <c r="F164" s="261"/>
      <c r="G164" s="261"/>
      <c r="H164" s="261"/>
      <c r="I164" s="262"/>
      <c r="J164" s="100"/>
    </row>
    <row r="165" spans="1:10" ht="57">
      <c r="A165" s="56" t="s">
        <v>10</v>
      </c>
      <c r="B165" s="34" t="s">
        <v>244</v>
      </c>
      <c r="C165" s="35" t="s">
        <v>216</v>
      </c>
      <c r="D165" s="260" t="s">
        <v>208</v>
      </c>
      <c r="E165" s="260" t="s">
        <v>209</v>
      </c>
      <c r="F165" s="260" t="s">
        <v>210</v>
      </c>
      <c r="G165" s="260" t="s">
        <v>211</v>
      </c>
      <c r="H165" s="260" t="s">
        <v>212</v>
      </c>
      <c r="I165" s="260" t="s">
        <v>213</v>
      </c>
      <c r="J165" s="85">
        <f>SUM(J167:J168)</f>
        <v>50.6</v>
      </c>
    </row>
    <row r="166" spans="1:10" ht="14.25">
      <c r="A166" s="43"/>
      <c r="B166" s="64" t="s">
        <v>477</v>
      </c>
      <c r="C166" s="50"/>
      <c r="D166" s="255"/>
      <c r="E166" s="255"/>
      <c r="F166" s="255"/>
      <c r="G166" s="255"/>
      <c r="H166" s="255"/>
      <c r="I166" s="256"/>
      <c r="J166" s="99"/>
    </row>
    <row r="167" spans="1:10" ht="14.25">
      <c r="A167" s="43"/>
      <c r="B167" s="49" t="s">
        <v>475</v>
      </c>
      <c r="C167" s="50"/>
      <c r="D167" s="255"/>
      <c r="E167" s="255"/>
      <c r="F167" s="255"/>
      <c r="G167" s="255"/>
      <c r="H167" s="255"/>
      <c r="I167" s="256"/>
      <c r="J167" s="99">
        <v>37.49</v>
      </c>
    </row>
    <row r="168" spans="1:10" ht="14.25">
      <c r="A168" s="43"/>
      <c r="B168" s="49" t="s">
        <v>478</v>
      </c>
      <c r="C168" s="50"/>
      <c r="D168" s="255"/>
      <c r="E168" s="255"/>
      <c r="F168" s="255"/>
      <c r="G168" s="255"/>
      <c r="H168" s="255"/>
      <c r="I168" s="256"/>
      <c r="J168" s="99">
        <v>13.11</v>
      </c>
    </row>
    <row r="169" spans="1:10" ht="14.25">
      <c r="A169" s="43"/>
      <c r="B169" s="52"/>
      <c r="C169" s="50"/>
      <c r="D169" s="255"/>
      <c r="E169" s="255"/>
      <c r="F169" s="255"/>
      <c r="G169" s="255"/>
      <c r="H169" s="255"/>
      <c r="I169" s="256"/>
      <c r="J169" s="99"/>
    </row>
    <row r="170" spans="1:10" ht="14.25">
      <c r="A170" s="53"/>
      <c r="B170" s="47"/>
      <c r="C170" s="54"/>
      <c r="D170" s="261"/>
      <c r="E170" s="261"/>
      <c r="F170" s="261"/>
      <c r="G170" s="261"/>
      <c r="H170" s="261"/>
      <c r="I170" s="262"/>
      <c r="J170" s="100"/>
    </row>
    <row r="171" spans="1:10" ht="57">
      <c r="A171" s="33" t="s">
        <v>11</v>
      </c>
      <c r="B171" s="34" t="s">
        <v>492</v>
      </c>
      <c r="C171" s="35" t="s">
        <v>221</v>
      </c>
      <c r="D171" s="260" t="s">
        <v>208</v>
      </c>
      <c r="E171" s="260" t="s">
        <v>209</v>
      </c>
      <c r="F171" s="260" t="s">
        <v>210</v>
      </c>
      <c r="G171" s="260" t="s">
        <v>211</v>
      </c>
      <c r="H171" s="260" t="s">
        <v>212</v>
      </c>
      <c r="I171" s="260" t="s">
        <v>213</v>
      </c>
      <c r="J171" s="85">
        <f>SUM(J173:J173)</f>
        <v>2.71</v>
      </c>
    </row>
    <row r="172" spans="1:10" ht="14.25">
      <c r="A172" s="57"/>
      <c r="B172" s="64" t="s">
        <v>477</v>
      </c>
      <c r="C172" s="50"/>
      <c r="D172" s="255"/>
      <c r="E172" s="255"/>
      <c r="F172" s="255"/>
      <c r="G172" s="255"/>
      <c r="H172" s="255"/>
      <c r="I172" s="256"/>
      <c r="J172" s="99"/>
    </row>
    <row r="173" spans="1:10" ht="14.25">
      <c r="A173" s="43"/>
      <c r="B173" s="49" t="s">
        <v>475</v>
      </c>
      <c r="C173" s="50"/>
      <c r="D173" s="255"/>
      <c r="E173" s="255"/>
      <c r="F173" s="255"/>
      <c r="G173" s="255"/>
      <c r="H173" s="255"/>
      <c r="I173" s="256"/>
      <c r="J173" s="99">
        <v>2.71</v>
      </c>
    </row>
    <row r="174" spans="1:10" ht="14.25">
      <c r="A174" s="43"/>
      <c r="B174" s="69"/>
      <c r="C174" s="45"/>
      <c r="D174" s="263"/>
      <c r="E174" s="263"/>
      <c r="F174" s="263"/>
      <c r="G174" s="263"/>
      <c r="H174" s="263"/>
      <c r="I174" s="263"/>
      <c r="J174" s="97"/>
    </row>
    <row r="175" spans="1:10" ht="14.25">
      <c r="A175" s="53"/>
      <c r="B175" s="47"/>
      <c r="C175" s="54"/>
      <c r="D175" s="261"/>
      <c r="E175" s="261"/>
      <c r="F175" s="261"/>
      <c r="G175" s="261"/>
      <c r="H175" s="261"/>
      <c r="I175" s="262"/>
      <c r="J175" s="100"/>
    </row>
    <row r="176" spans="1:10" ht="64.5" customHeight="1">
      <c r="A176" s="33" t="s">
        <v>31</v>
      </c>
      <c r="B176" s="34" t="s">
        <v>245</v>
      </c>
      <c r="C176" s="35" t="s">
        <v>221</v>
      </c>
      <c r="D176" s="260" t="s">
        <v>208</v>
      </c>
      <c r="E176" s="260" t="s">
        <v>209</v>
      </c>
      <c r="F176" s="260" t="s">
        <v>210</v>
      </c>
      <c r="G176" s="260" t="s">
        <v>211</v>
      </c>
      <c r="H176" s="260" t="s">
        <v>212</v>
      </c>
      <c r="I176" s="260" t="s">
        <v>213</v>
      </c>
      <c r="J176" s="85">
        <f>SUM(J178:J179)</f>
        <v>1.94</v>
      </c>
    </row>
    <row r="177" spans="1:10" ht="14.25">
      <c r="A177" s="57"/>
      <c r="B177" s="64" t="s">
        <v>477</v>
      </c>
      <c r="C177" s="50"/>
      <c r="D177" s="255"/>
      <c r="E177" s="255"/>
      <c r="F177" s="255"/>
      <c r="G177" s="255"/>
      <c r="H177" s="255"/>
      <c r="I177" s="256"/>
      <c r="J177" s="99"/>
    </row>
    <row r="178" spans="1:10" ht="14.25">
      <c r="A178" s="43"/>
      <c r="B178" s="49" t="s">
        <v>475</v>
      </c>
      <c r="C178" s="50"/>
      <c r="D178" s="255"/>
      <c r="E178" s="255"/>
      <c r="F178" s="255"/>
      <c r="G178" s="255"/>
      <c r="H178" s="255"/>
      <c r="I178" s="256"/>
      <c r="J178" s="99">
        <v>0.76</v>
      </c>
    </row>
    <row r="179" spans="1:10" ht="14.25">
      <c r="A179" s="43"/>
      <c r="B179" s="49" t="s">
        <v>478</v>
      </c>
      <c r="C179" s="50"/>
      <c r="D179" s="255"/>
      <c r="E179" s="255"/>
      <c r="F179" s="255"/>
      <c r="G179" s="255"/>
      <c r="H179" s="255"/>
      <c r="I179" s="256"/>
      <c r="J179" s="99">
        <v>1.18</v>
      </c>
    </row>
    <row r="180" spans="1:10" ht="14.25">
      <c r="A180" s="43"/>
      <c r="B180" s="69"/>
      <c r="C180" s="45"/>
      <c r="D180" s="263"/>
      <c r="E180" s="263"/>
      <c r="F180" s="263"/>
      <c r="G180" s="263"/>
      <c r="H180" s="263"/>
      <c r="I180" s="263"/>
      <c r="J180" s="97"/>
    </row>
    <row r="181" spans="1:10" ht="14.25">
      <c r="A181" s="53"/>
      <c r="B181" s="47"/>
      <c r="C181" s="54"/>
      <c r="D181" s="261"/>
      <c r="E181" s="261"/>
      <c r="F181" s="261"/>
      <c r="G181" s="261"/>
      <c r="H181" s="261"/>
      <c r="I181" s="262"/>
      <c r="J181" s="100"/>
    </row>
    <row r="182" spans="1:10" ht="42.75">
      <c r="A182" s="33" t="s">
        <v>51</v>
      </c>
      <c r="B182" s="34" t="s">
        <v>246</v>
      </c>
      <c r="C182" s="35" t="s">
        <v>247</v>
      </c>
      <c r="D182" s="260" t="s">
        <v>208</v>
      </c>
      <c r="E182" s="260" t="s">
        <v>209</v>
      </c>
      <c r="F182" s="260" t="s">
        <v>210</v>
      </c>
      <c r="G182" s="260" t="s">
        <v>211</v>
      </c>
      <c r="H182" s="260" t="s">
        <v>212</v>
      </c>
      <c r="I182" s="260" t="s">
        <v>213</v>
      </c>
      <c r="J182" s="85">
        <f>SUM(J184:J185)</f>
        <v>288.8</v>
      </c>
    </row>
    <row r="183" spans="1:10" ht="14.25">
      <c r="A183" s="43"/>
      <c r="B183" s="64" t="s">
        <v>477</v>
      </c>
      <c r="C183" s="50"/>
      <c r="D183" s="255"/>
      <c r="E183" s="255"/>
      <c r="F183" s="255"/>
      <c r="G183" s="255"/>
      <c r="H183" s="255"/>
      <c r="I183" s="256"/>
      <c r="J183" s="99"/>
    </row>
    <row r="184" spans="1:10" ht="14.25">
      <c r="A184" s="43"/>
      <c r="B184" s="49" t="s">
        <v>475</v>
      </c>
      <c r="C184" s="50"/>
      <c r="D184" s="255"/>
      <c r="E184" s="255"/>
      <c r="F184" s="255"/>
      <c r="G184" s="255"/>
      <c r="H184" s="255"/>
      <c r="I184" s="256"/>
      <c r="J184" s="99">
        <v>147.4</v>
      </c>
    </row>
    <row r="185" spans="1:10" ht="14.25">
      <c r="A185" s="43"/>
      <c r="B185" s="49" t="s">
        <v>478</v>
      </c>
      <c r="C185" s="50"/>
      <c r="D185" s="255"/>
      <c r="E185" s="255"/>
      <c r="F185" s="255"/>
      <c r="G185" s="255"/>
      <c r="H185" s="255"/>
      <c r="I185" s="256"/>
      <c r="J185" s="99">
        <v>141.4</v>
      </c>
    </row>
    <row r="186" spans="1:10" ht="14.25">
      <c r="A186" s="43"/>
      <c r="B186" s="70"/>
      <c r="C186" s="45"/>
      <c r="D186" s="263"/>
      <c r="E186" s="263"/>
      <c r="F186" s="263"/>
      <c r="G186" s="263"/>
      <c r="H186" s="263"/>
      <c r="I186" s="263"/>
      <c r="J186" s="97"/>
    </row>
    <row r="187" spans="1:10" ht="14.25">
      <c r="A187" s="43"/>
      <c r="B187" s="71"/>
      <c r="C187" s="45"/>
      <c r="D187" s="263"/>
      <c r="E187" s="263"/>
      <c r="F187" s="263"/>
      <c r="G187" s="263"/>
      <c r="H187" s="263"/>
      <c r="I187" s="263"/>
      <c r="J187" s="97"/>
    </row>
    <row r="188" spans="1:10" ht="14.25">
      <c r="A188" s="53"/>
      <c r="B188" s="47"/>
      <c r="C188" s="54"/>
      <c r="D188" s="261"/>
      <c r="E188" s="261"/>
      <c r="F188" s="261"/>
      <c r="G188" s="261"/>
      <c r="H188" s="261"/>
      <c r="I188" s="262"/>
      <c r="J188" s="100"/>
    </row>
    <row r="189" spans="1:10" ht="42.75">
      <c r="A189" s="56" t="s">
        <v>476</v>
      </c>
      <c r="B189" s="34" t="s">
        <v>248</v>
      </c>
      <c r="C189" s="35" t="s">
        <v>247</v>
      </c>
      <c r="D189" s="260" t="s">
        <v>208</v>
      </c>
      <c r="E189" s="260" t="s">
        <v>209</v>
      </c>
      <c r="F189" s="260" t="s">
        <v>210</v>
      </c>
      <c r="G189" s="260" t="s">
        <v>211</v>
      </c>
      <c r="H189" s="260" t="s">
        <v>212</v>
      </c>
      <c r="I189" s="260" t="s">
        <v>213</v>
      </c>
      <c r="J189" s="85">
        <f>SUM(J191:J192)</f>
        <v>25.8</v>
      </c>
    </row>
    <row r="190" spans="1:10" ht="14.25">
      <c r="A190" s="481"/>
      <c r="B190" s="64" t="s">
        <v>477</v>
      </c>
      <c r="C190" s="50"/>
      <c r="D190" s="255"/>
      <c r="E190" s="255"/>
      <c r="F190" s="255"/>
      <c r="G190" s="255"/>
      <c r="H190" s="255"/>
      <c r="I190" s="256"/>
      <c r="J190" s="99"/>
    </row>
    <row r="191" spans="1:10" ht="14.25">
      <c r="A191" s="43"/>
      <c r="B191" s="49" t="s">
        <v>475</v>
      </c>
      <c r="C191" s="50"/>
      <c r="D191" s="255"/>
      <c r="E191" s="255"/>
      <c r="F191" s="255"/>
      <c r="G191" s="255"/>
      <c r="H191" s="255"/>
      <c r="I191" s="256"/>
      <c r="J191" s="99">
        <v>18.1</v>
      </c>
    </row>
    <row r="192" spans="1:10" ht="14.25">
      <c r="A192" s="43"/>
      <c r="B192" s="49" t="s">
        <v>478</v>
      </c>
      <c r="C192" s="50"/>
      <c r="D192" s="255"/>
      <c r="E192" s="255"/>
      <c r="F192" s="255"/>
      <c r="G192" s="255"/>
      <c r="H192" s="255"/>
      <c r="I192" s="256"/>
      <c r="J192" s="99">
        <v>7.7</v>
      </c>
    </row>
    <row r="193" spans="1:10" ht="14.25">
      <c r="A193" s="43"/>
      <c r="B193" s="49"/>
      <c r="C193" s="50"/>
      <c r="D193" s="255"/>
      <c r="E193" s="255"/>
      <c r="F193" s="255"/>
      <c r="G193" s="255"/>
      <c r="H193" s="255"/>
      <c r="I193" s="256"/>
      <c r="J193" s="99"/>
    </row>
    <row r="194" spans="1:10" ht="14.25">
      <c r="A194" s="53"/>
      <c r="B194" s="47"/>
      <c r="C194" s="54"/>
      <c r="D194" s="261"/>
      <c r="E194" s="261"/>
      <c r="F194" s="261"/>
      <c r="G194" s="261"/>
      <c r="H194" s="261"/>
      <c r="I194" s="262"/>
      <c r="J194" s="100"/>
    </row>
    <row r="195" spans="1:12" ht="15">
      <c r="A195" s="61" t="s">
        <v>52</v>
      </c>
      <c r="B195" s="62" t="s">
        <v>25</v>
      </c>
      <c r="C195" s="63"/>
      <c r="D195" s="266"/>
      <c r="E195" s="266"/>
      <c r="F195" s="266"/>
      <c r="G195" s="266"/>
      <c r="H195" s="266"/>
      <c r="I195" s="266"/>
      <c r="J195" s="103"/>
      <c r="L195" s="39"/>
    </row>
    <row r="196" spans="1:10" ht="57">
      <c r="A196" s="56" t="s">
        <v>12</v>
      </c>
      <c r="B196" s="34" t="s">
        <v>244</v>
      </c>
      <c r="C196" s="35" t="s">
        <v>216</v>
      </c>
      <c r="D196" s="260" t="s">
        <v>208</v>
      </c>
      <c r="E196" s="260" t="s">
        <v>209</v>
      </c>
      <c r="F196" s="260" t="s">
        <v>210</v>
      </c>
      <c r="G196" s="260" t="s">
        <v>211</v>
      </c>
      <c r="H196" s="260" t="s">
        <v>212</v>
      </c>
      <c r="I196" s="260" t="s">
        <v>213</v>
      </c>
      <c r="J196" s="85">
        <f>SUM(J197:J206)</f>
        <v>301.28</v>
      </c>
    </row>
    <row r="197" spans="1:10" ht="14.25">
      <c r="A197" s="43"/>
      <c r="B197" s="64" t="s">
        <v>479</v>
      </c>
      <c r="C197" s="50"/>
      <c r="D197" s="255"/>
      <c r="E197" s="255"/>
      <c r="F197" s="255"/>
      <c r="G197" s="255"/>
      <c r="H197" s="255"/>
      <c r="I197" s="256"/>
      <c r="J197" s="99"/>
    </row>
    <row r="198" spans="1:10" ht="14.25">
      <c r="A198" s="43"/>
      <c r="B198" s="49" t="s">
        <v>480</v>
      </c>
      <c r="C198" s="50"/>
      <c r="D198" s="255"/>
      <c r="E198" s="255"/>
      <c r="F198" s="255"/>
      <c r="G198" s="255"/>
      <c r="H198" s="255"/>
      <c r="I198" s="256"/>
      <c r="J198" s="99">
        <v>90</v>
      </c>
    </row>
    <row r="199" spans="1:10" ht="14.25">
      <c r="A199" s="43"/>
      <c r="B199" s="64" t="s">
        <v>482</v>
      </c>
      <c r="C199" s="50"/>
      <c r="D199" s="255"/>
      <c r="E199" s="255"/>
      <c r="F199" s="255"/>
      <c r="G199" s="255"/>
      <c r="H199" s="255"/>
      <c r="I199" s="256"/>
      <c r="J199" s="99"/>
    </row>
    <row r="200" spans="1:10" ht="14.25">
      <c r="A200" s="43"/>
      <c r="B200" s="49" t="s">
        <v>481</v>
      </c>
      <c r="C200" s="50"/>
      <c r="D200" s="255"/>
      <c r="E200" s="255"/>
      <c r="F200" s="255"/>
      <c r="G200" s="255"/>
      <c r="H200" s="255"/>
      <c r="I200" s="256"/>
      <c r="J200" s="99">
        <v>73.94</v>
      </c>
    </row>
    <row r="201" spans="1:10" ht="14.25">
      <c r="A201" s="43"/>
      <c r="B201" s="64" t="s">
        <v>483</v>
      </c>
      <c r="C201" s="50"/>
      <c r="D201" s="255"/>
      <c r="E201" s="255"/>
      <c r="F201" s="255"/>
      <c r="G201" s="255"/>
      <c r="H201" s="255"/>
      <c r="I201" s="256"/>
      <c r="J201" s="99"/>
    </row>
    <row r="202" spans="1:10" ht="14.25">
      <c r="A202" s="43"/>
      <c r="B202" s="49" t="s">
        <v>484</v>
      </c>
      <c r="C202" s="50"/>
      <c r="D202" s="255"/>
      <c r="E202" s="255"/>
      <c r="F202" s="255"/>
      <c r="G202" s="255"/>
      <c r="H202" s="255"/>
      <c r="I202" s="256"/>
      <c r="J202" s="99">
        <v>84.4</v>
      </c>
    </row>
    <row r="203" spans="1:10" ht="14.25">
      <c r="A203" s="43"/>
      <c r="B203" s="64" t="s">
        <v>485</v>
      </c>
      <c r="C203" s="50"/>
      <c r="D203" s="255"/>
      <c r="E203" s="255"/>
      <c r="F203" s="255"/>
      <c r="G203" s="255"/>
      <c r="H203" s="255"/>
      <c r="I203" s="256"/>
      <c r="J203" s="99"/>
    </row>
    <row r="204" spans="1:10" ht="14.25">
      <c r="A204" s="43"/>
      <c r="B204" s="49" t="s">
        <v>486</v>
      </c>
      <c r="C204" s="50"/>
      <c r="D204" s="255"/>
      <c r="E204" s="255"/>
      <c r="F204" s="255"/>
      <c r="G204" s="255"/>
      <c r="H204" s="255"/>
      <c r="I204" s="256"/>
      <c r="J204" s="99">
        <v>47.62</v>
      </c>
    </row>
    <row r="205" spans="1:10" ht="14.25">
      <c r="A205" s="43"/>
      <c r="B205" s="49" t="s">
        <v>490</v>
      </c>
      <c r="C205" s="50"/>
      <c r="D205" s="255"/>
      <c r="E205" s="255"/>
      <c r="F205" s="255"/>
      <c r="G205" s="255"/>
      <c r="H205" s="255"/>
      <c r="I205" s="256"/>
      <c r="J205" s="99"/>
    </row>
    <row r="206" spans="1:10" ht="14.25">
      <c r="A206" s="43"/>
      <c r="B206" s="49" t="s">
        <v>491</v>
      </c>
      <c r="C206" s="50"/>
      <c r="D206" s="255"/>
      <c r="E206" s="255"/>
      <c r="F206" s="255"/>
      <c r="G206" s="255"/>
      <c r="H206" s="255"/>
      <c r="I206" s="256"/>
      <c r="J206" s="99">
        <v>5.32</v>
      </c>
    </row>
    <row r="207" spans="1:10" ht="14.25">
      <c r="A207" s="43"/>
      <c r="B207" s="49"/>
      <c r="C207" s="50"/>
      <c r="D207" s="256"/>
      <c r="E207" s="256"/>
      <c r="F207" s="256"/>
      <c r="G207" s="256"/>
      <c r="H207" s="256"/>
      <c r="I207" s="256"/>
      <c r="J207" s="99"/>
    </row>
    <row r="208" spans="1:10" ht="14.25">
      <c r="A208" s="53"/>
      <c r="B208" s="47"/>
      <c r="C208" s="54"/>
      <c r="D208" s="261"/>
      <c r="E208" s="261"/>
      <c r="F208" s="261"/>
      <c r="G208" s="261"/>
      <c r="H208" s="261"/>
      <c r="I208" s="262"/>
      <c r="J208" s="100"/>
    </row>
    <row r="209" spans="1:10" ht="42.75">
      <c r="A209" s="56" t="s">
        <v>32</v>
      </c>
      <c r="B209" s="34" t="s">
        <v>254</v>
      </c>
      <c r="C209" s="35" t="s">
        <v>221</v>
      </c>
      <c r="D209" s="260" t="s">
        <v>208</v>
      </c>
      <c r="E209" s="260" t="s">
        <v>209</v>
      </c>
      <c r="F209" s="260" t="s">
        <v>222</v>
      </c>
      <c r="G209" s="260" t="s">
        <v>211</v>
      </c>
      <c r="H209" s="260" t="s">
        <v>212</v>
      </c>
      <c r="I209" s="260" t="s">
        <v>213</v>
      </c>
      <c r="J209" s="85">
        <f>SUM(J210:J220)</f>
        <v>20.94</v>
      </c>
    </row>
    <row r="210" spans="1:10" ht="14.25">
      <c r="A210" s="72"/>
      <c r="B210" s="64" t="s">
        <v>479</v>
      </c>
      <c r="C210" s="50"/>
      <c r="D210" s="255"/>
      <c r="E210" s="255"/>
      <c r="F210" s="255"/>
      <c r="G210" s="255"/>
      <c r="H210" s="255"/>
      <c r="I210" s="256"/>
      <c r="J210" s="99"/>
    </row>
    <row r="211" spans="1:10" ht="14.25">
      <c r="A211" s="43"/>
      <c r="B211" s="49" t="s">
        <v>480</v>
      </c>
      <c r="C211" s="50"/>
      <c r="D211" s="255"/>
      <c r="E211" s="255"/>
      <c r="F211" s="255"/>
      <c r="G211" s="255"/>
      <c r="H211" s="255"/>
      <c r="I211" s="256"/>
      <c r="J211" s="99">
        <v>4.95</v>
      </c>
    </row>
    <row r="212" spans="1:10" ht="14.25">
      <c r="A212" s="43"/>
      <c r="B212" s="64" t="s">
        <v>482</v>
      </c>
      <c r="C212" s="50"/>
      <c r="D212" s="255"/>
      <c r="E212" s="255"/>
      <c r="F212" s="255"/>
      <c r="G212" s="255"/>
      <c r="H212" s="255"/>
      <c r="I212" s="256"/>
      <c r="J212" s="99"/>
    </row>
    <row r="213" spans="1:10" ht="14.25">
      <c r="A213" s="43"/>
      <c r="B213" s="49" t="s">
        <v>481</v>
      </c>
      <c r="C213" s="50"/>
      <c r="D213" s="255"/>
      <c r="E213" s="255"/>
      <c r="F213" s="255"/>
      <c r="G213" s="255"/>
      <c r="H213" s="255"/>
      <c r="I213" s="256"/>
      <c r="J213" s="99">
        <v>4.73</v>
      </c>
    </row>
    <row r="214" spans="1:10" ht="14.25">
      <c r="A214" s="43"/>
      <c r="B214" s="64" t="s">
        <v>483</v>
      </c>
      <c r="C214" s="50"/>
      <c r="D214" s="255"/>
      <c r="E214" s="255"/>
      <c r="F214" s="255"/>
      <c r="G214" s="255"/>
      <c r="H214" s="255"/>
      <c r="I214" s="256"/>
      <c r="J214" s="99"/>
    </row>
    <row r="215" spans="1:10" ht="14.25">
      <c r="A215" s="43"/>
      <c r="B215" s="49" t="s">
        <v>484</v>
      </c>
      <c r="C215" s="50"/>
      <c r="D215" s="255"/>
      <c r="E215" s="255"/>
      <c r="F215" s="255"/>
      <c r="G215" s="255"/>
      <c r="H215" s="255"/>
      <c r="I215" s="256"/>
      <c r="J215" s="99">
        <v>5.64</v>
      </c>
    </row>
    <row r="216" spans="1:10" ht="14.25">
      <c r="A216" s="43"/>
      <c r="B216" s="64" t="s">
        <v>485</v>
      </c>
      <c r="C216" s="50"/>
      <c r="D216" s="255"/>
      <c r="E216" s="255"/>
      <c r="F216" s="255"/>
      <c r="G216" s="255"/>
      <c r="H216" s="255"/>
      <c r="I216" s="256"/>
      <c r="J216" s="99"/>
    </row>
    <row r="217" spans="1:10" ht="14.25">
      <c r="A217" s="43"/>
      <c r="B217" s="49" t="s">
        <v>486</v>
      </c>
      <c r="C217" s="50"/>
      <c r="D217" s="255"/>
      <c r="E217" s="255"/>
      <c r="F217" s="255"/>
      <c r="G217" s="255"/>
      <c r="H217" s="255"/>
      <c r="I217" s="256"/>
      <c r="J217" s="99">
        <v>3.43</v>
      </c>
    </row>
    <row r="218" spans="1:10" ht="14.25">
      <c r="A218" s="43"/>
      <c r="B218" s="49" t="s">
        <v>490</v>
      </c>
      <c r="C218" s="50"/>
      <c r="D218" s="255"/>
      <c r="E218" s="255"/>
      <c r="F218" s="255"/>
      <c r="G218" s="255"/>
      <c r="H218" s="255"/>
      <c r="I218" s="256"/>
      <c r="J218" s="99"/>
    </row>
    <row r="219" spans="1:10" ht="14.25">
      <c r="A219" s="43"/>
      <c r="B219" s="49" t="s">
        <v>491</v>
      </c>
      <c r="C219" s="50"/>
      <c r="D219" s="255"/>
      <c r="E219" s="255"/>
      <c r="F219" s="255"/>
      <c r="G219" s="255"/>
      <c r="H219" s="255"/>
      <c r="I219" s="256"/>
      <c r="J219" s="99">
        <v>2.19</v>
      </c>
    </row>
    <row r="220" spans="1:10" ht="14.25">
      <c r="A220" s="43"/>
      <c r="B220" s="86"/>
      <c r="C220" s="50"/>
      <c r="D220" s="255"/>
      <c r="E220" s="255"/>
      <c r="F220" s="255"/>
      <c r="G220" s="255"/>
      <c r="H220" s="255"/>
      <c r="I220" s="256"/>
      <c r="J220" s="99"/>
    </row>
    <row r="221" spans="1:10" ht="14.25">
      <c r="A221" s="53"/>
      <c r="B221" s="47"/>
      <c r="C221" s="54"/>
      <c r="D221" s="261"/>
      <c r="E221" s="261"/>
      <c r="F221" s="261"/>
      <c r="G221" s="261"/>
      <c r="H221" s="261"/>
      <c r="I221" s="262"/>
      <c r="J221" s="100"/>
    </row>
    <row r="222" spans="1:10" ht="42.75">
      <c r="A222" s="56" t="s">
        <v>53</v>
      </c>
      <c r="B222" s="34" t="s">
        <v>246</v>
      </c>
      <c r="C222" s="35" t="s">
        <v>247</v>
      </c>
      <c r="D222" s="260" t="s">
        <v>208</v>
      </c>
      <c r="E222" s="260" t="s">
        <v>209</v>
      </c>
      <c r="F222" s="260" t="s">
        <v>222</v>
      </c>
      <c r="G222" s="260" t="s">
        <v>211</v>
      </c>
      <c r="H222" s="260" t="s">
        <v>212</v>
      </c>
      <c r="I222" s="260" t="s">
        <v>213</v>
      </c>
      <c r="J222" s="85">
        <f>SUM(J224:J232)</f>
        <v>1123.7</v>
      </c>
    </row>
    <row r="223" spans="1:10" ht="14.25">
      <c r="A223" s="57"/>
      <c r="B223" s="64" t="s">
        <v>479</v>
      </c>
      <c r="C223" s="50"/>
      <c r="D223" s="255"/>
      <c r="E223" s="255"/>
      <c r="F223" s="255"/>
      <c r="G223" s="255"/>
      <c r="H223" s="255"/>
      <c r="I223" s="256"/>
      <c r="J223" s="97"/>
    </row>
    <row r="224" spans="1:10" ht="14.25">
      <c r="A224" s="43"/>
      <c r="B224" s="49" t="s">
        <v>480</v>
      </c>
      <c r="C224" s="50"/>
      <c r="D224" s="255"/>
      <c r="E224" s="255"/>
      <c r="F224" s="255"/>
      <c r="G224" s="255"/>
      <c r="H224" s="255"/>
      <c r="I224" s="256"/>
      <c r="J224" s="99">
        <v>324.5</v>
      </c>
    </row>
    <row r="225" spans="1:10" ht="14.25">
      <c r="A225" s="43"/>
      <c r="B225" s="64" t="s">
        <v>482</v>
      </c>
      <c r="C225" s="50"/>
      <c r="D225" s="255"/>
      <c r="E225" s="255"/>
      <c r="F225" s="255"/>
      <c r="G225" s="255"/>
      <c r="H225" s="255"/>
      <c r="I225" s="256"/>
      <c r="J225" s="99"/>
    </row>
    <row r="226" spans="1:10" ht="14.25">
      <c r="A226" s="43"/>
      <c r="B226" s="49" t="s">
        <v>481</v>
      </c>
      <c r="C226" s="50"/>
      <c r="D226" s="255"/>
      <c r="E226" s="255"/>
      <c r="F226" s="255"/>
      <c r="G226" s="255"/>
      <c r="H226" s="255"/>
      <c r="I226" s="256"/>
      <c r="J226" s="99">
        <v>210.2</v>
      </c>
    </row>
    <row r="227" spans="1:10" ht="14.25">
      <c r="A227" s="43"/>
      <c r="B227" s="64" t="s">
        <v>483</v>
      </c>
      <c r="C227" s="50"/>
      <c r="D227" s="255"/>
      <c r="E227" s="255"/>
      <c r="F227" s="255"/>
      <c r="G227" s="255"/>
      <c r="H227" s="255"/>
      <c r="I227" s="256"/>
      <c r="J227" s="99"/>
    </row>
    <row r="228" spans="1:10" ht="14.25">
      <c r="A228" s="43"/>
      <c r="B228" s="49" t="s">
        <v>484</v>
      </c>
      <c r="C228" s="50"/>
      <c r="D228" s="255"/>
      <c r="E228" s="255"/>
      <c r="F228" s="255"/>
      <c r="G228" s="255"/>
      <c r="H228" s="255"/>
      <c r="I228" s="256"/>
      <c r="J228" s="99">
        <v>316.7</v>
      </c>
    </row>
    <row r="229" spans="1:10" ht="14.25">
      <c r="A229" s="43"/>
      <c r="B229" s="64" t="s">
        <v>485</v>
      </c>
      <c r="C229" s="50"/>
      <c r="D229" s="255"/>
      <c r="E229" s="255"/>
      <c r="F229" s="255"/>
      <c r="G229" s="255"/>
      <c r="H229" s="255"/>
      <c r="I229" s="256"/>
      <c r="J229" s="99"/>
    </row>
    <row r="230" spans="1:10" ht="14.25">
      <c r="A230" s="479"/>
      <c r="B230" s="49" t="s">
        <v>486</v>
      </c>
      <c r="C230" s="50"/>
      <c r="D230" s="255"/>
      <c r="E230" s="255"/>
      <c r="F230" s="255"/>
      <c r="G230" s="255"/>
      <c r="H230" s="255"/>
      <c r="I230" s="256"/>
      <c r="J230" s="99">
        <v>181.4</v>
      </c>
    </row>
    <row r="231" spans="1:10" ht="14.25">
      <c r="A231" s="43"/>
      <c r="B231" s="49" t="s">
        <v>490</v>
      </c>
      <c r="C231" s="50"/>
      <c r="D231" s="255"/>
      <c r="E231" s="255"/>
      <c r="F231" s="255"/>
      <c r="G231" s="255"/>
      <c r="H231" s="255"/>
      <c r="I231" s="256"/>
      <c r="J231" s="99"/>
    </row>
    <row r="232" spans="1:10" ht="14.25">
      <c r="A232" s="43"/>
      <c r="B232" s="49" t="s">
        <v>491</v>
      </c>
      <c r="C232" s="50"/>
      <c r="D232" s="255"/>
      <c r="E232" s="255"/>
      <c r="F232" s="255"/>
      <c r="G232" s="255"/>
      <c r="H232" s="255"/>
      <c r="I232" s="256"/>
      <c r="J232" s="99">
        <v>90.9</v>
      </c>
    </row>
    <row r="233" spans="1:10" ht="14.25">
      <c r="A233" s="43"/>
      <c r="B233" s="73"/>
      <c r="C233" s="65"/>
      <c r="D233" s="267"/>
      <c r="E233" s="267"/>
      <c r="F233" s="267"/>
      <c r="G233" s="267"/>
      <c r="H233" s="267"/>
      <c r="I233" s="268"/>
      <c r="J233" s="106"/>
    </row>
    <row r="234" spans="1:10" ht="14.25">
      <c r="A234" s="53"/>
      <c r="B234" s="47"/>
      <c r="C234" s="54"/>
      <c r="D234" s="261"/>
      <c r="E234" s="261"/>
      <c r="F234" s="261"/>
      <c r="G234" s="261"/>
      <c r="H234" s="261"/>
      <c r="I234" s="262"/>
      <c r="J234" s="100"/>
    </row>
    <row r="235" spans="1:10" ht="48.75" customHeight="1">
      <c r="A235" s="56" t="s">
        <v>252</v>
      </c>
      <c r="B235" s="34" t="s">
        <v>248</v>
      </c>
      <c r="C235" s="35" t="s">
        <v>247</v>
      </c>
      <c r="D235" s="260" t="s">
        <v>208</v>
      </c>
      <c r="E235" s="260" t="s">
        <v>209</v>
      </c>
      <c r="F235" s="260" t="s">
        <v>210</v>
      </c>
      <c r="G235" s="260" t="s">
        <v>211</v>
      </c>
      <c r="H235" s="260" t="s">
        <v>212</v>
      </c>
      <c r="I235" s="260" t="s">
        <v>213</v>
      </c>
      <c r="J235" s="88">
        <f>SUM(J238:J245)</f>
        <v>227.2</v>
      </c>
    </row>
    <row r="236" spans="1:10" ht="14.25">
      <c r="A236" s="57"/>
      <c r="B236" s="64" t="s">
        <v>479</v>
      </c>
      <c r="C236" s="58"/>
      <c r="D236" s="265"/>
      <c r="E236" s="265"/>
      <c r="F236" s="265"/>
      <c r="G236" s="265"/>
      <c r="H236" s="265"/>
      <c r="I236" s="265"/>
      <c r="J236" s="102"/>
    </row>
    <row r="237" spans="1:10" ht="14.25">
      <c r="A237" s="43"/>
      <c r="B237" s="49" t="s">
        <v>480</v>
      </c>
      <c r="C237" s="50"/>
      <c r="D237" s="256"/>
      <c r="E237" s="256"/>
      <c r="F237" s="256"/>
      <c r="G237" s="256"/>
      <c r="H237" s="256"/>
      <c r="I237" s="256"/>
      <c r="J237" s="99">
        <v>121</v>
      </c>
    </row>
    <row r="238" spans="1:10" ht="14.25">
      <c r="A238" s="43"/>
      <c r="B238" s="64" t="s">
        <v>482</v>
      </c>
      <c r="C238" s="50"/>
      <c r="D238" s="256"/>
      <c r="E238" s="256"/>
      <c r="F238" s="256"/>
      <c r="G238" s="256"/>
      <c r="H238" s="256"/>
      <c r="I238" s="256"/>
      <c r="J238" s="99"/>
    </row>
    <row r="239" spans="1:10" ht="14.25">
      <c r="A239" s="43"/>
      <c r="B239" s="49" t="s">
        <v>481</v>
      </c>
      <c r="C239" s="50"/>
      <c r="D239" s="256"/>
      <c r="E239" s="256"/>
      <c r="F239" s="256"/>
      <c r="G239" s="256"/>
      <c r="H239" s="256"/>
      <c r="I239" s="256"/>
      <c r="J239" s="99">
        <v>82.6</v>
      </c>
    </row>
    <row r="240" spans="1:10" ht="14.25">
      <c r="A240" s="43"/>
      <c r="B240" s="64" t="s">
        <v>483</v>
      </c>
      <c r="C240" s="50"/>
      <c r="D240" s="256"/>
      <c r="E240" s="256"/>
      <c r="F240" s="256"/>
      <c r="G240" s="256"/>
      <c r="H240" s="256"/>
      <c r="I240" s="256"/>
      <c r="J240" s="99"/>
    </row>
    <row r="241" spans="1:10" ht="14.25">
      <c r="A241" s="43"/>
      <c r="B241" s="49" t="s">
        <v>484</v>
      </c>
      <c r="C241" s="50"/>
      <c r="D241" s="256"/>
      <c r="E241" s="256"/>
      <c r="F241" s="256"/>
      <c r="G241" s="256"/>
      <c r="H241" s="256"/>
      <c r="I241" s="256"/>
      <c r="J241" s="99">
        <v>79.5</v>
      </c>
    </row>
    <row r="242" spans="1:10" ht="14.25">
      <c r="A242" s="43"/>
      <c r="B242" s="64" t="s">
        <v>485</v>
      </c>
      <c r="C242" s="50"/>
      <c r="D242" s="256"/>
      <c r="E242" s="256"/>
      <c r="F242" s="256"/>
      <c r="G242" s="256"/>
      <c r="H242" s="256"/>
      <c r="I242" s="256"/>
      <c r="J242" s="99"/>
    </row>
    <row r="243" spans="1:10" ht="14.25">
      <c r="A243" s="43"/>
      <c r="B243" s="49" t="s">
        <v>486</v>
      </c>
      <c r="C243" s="50"/>
      <c r="D243" s="256"/>
      <c r="E243" s="256"/>
      <c r="F243" s="256"/>
      <c r="G243" s="256"/>
      <c r="H243" s="256"/>
      <c r="I243" s="256"/>
      <c r="J243" s="99">
        <v>58.2</v>
      </c>
    </row>
    <row r="244" spans="1:10" ht="14.25">
      <c r="A244" s="43"/>
      <c r="B244" s="49" t="s">
        <v>490</v>
      </c>
      <c r="C244" s="50"/>
      <c r="D244" s="256"/>
      <c r="E244" s="256"/>
      <c r="F244" s="256"/>
      <c r="G244" s="256"/>
      <c r="H244" s="256"/>
      <c r="I244" s="256"/>
      <c r="J244" s="99"/>
    </row>
    <row r="245" spans="1:10" ht="14.25">
      <c r="A245" s="43"/>
      <c r="B245" s="49" t="s">
        <v>491</v>
      </c>
      <c r="C245" s="50"/>
      <c r="D245" s="256"/>
      <c r="E245" s="256"/>
      <c r="F245" s="256"/>
      <c r="G245" s="256"/>
      <c r="H245" s="256"/>
      <c r="I245" s="256"/>
      <c r="J245" s="99">
        <v>6.9</v>
      </c>
    </row>
    <row r="246" spans="1:10" ht="14.25">
      <c r="A246" s="43"/>
      <c r="B246" s="74"/>
      <c r="C246" s="77"/>
      <c r="D246" s="258"/>
      <c r="E246" s="258"/>
      <c r="F246" s="258"/>
      <c r="G246" s="258"/>
      <c r="H246" s="258"/>
      <c r="I246" s="258"/>
      <c r="J246" s="107"/>
    </row>
    <row r="247" spans="1:10" ht="14.25">
      <c r="A247" s="53"/>
      <c r="B247" s="47"/>
      <c r="C247" s="54"/>
      <c r="D247" s="261"/>
      <c r="E247" s="261"/>
      <c r="F247" s="261"/>
      <c r="G247" s="261"/>
      <c r="H247" s="261"/>
      <c r="I247" s="262"/>
      <c r="J247" s="100"/>
    </row>
    <row r="248" spans="1:10" ht="42.75">
      <c r="A248" s="56" t="s">
        <v>493</v>
      </c>
      <c r="B248" s="34" t="s">
        <v>255</v>
      </c>
      <c r="C248" s="35" t="s">
        <v>216</v>
      </c>
      <c r="D248" s="260" t="s">
        <v>208</v>
      </c>
      <c r="E248" s="260" t="s">
        <v>209</v>
      </c>
      <c r="F248" s="260" t="s">
        <v>210</v>
      </c>
      <c r="G248" s="260" t="s">
        <v>211</v>
      </c>
      <c r="H248" s="260" t="s">
        <v>212</v>
      </c>
      <c r="I248" s="260" t="s">
        <v>213</v>
      </c>
      <c r="J248" s="85">
        <f>SUM(J250:J268)</f>
        <v>89.12</v>
      </c>
    </row>
    <row r="249" spans="1:10" ht="14.25">
      <c r="A249" s="57"/>
      <c r="B249" s="64" t="s">
        <v>494</v>
      </c>
      <c r="C249" s="58"/>
      <c r="D249" s="265"/>
      <c r="E249" s="265"/>
      <c r="F249" s="265"/>
      <c r="G249" s="265"/>
      <c r="H249" s="265"/>
      <c r="I249" s="265"/>
      <c r="J249" s="102"/>
    </row>
    <row r="250" spans="1:10" ht="14.25">
      <c r="A250" s="43"/>
      <c r="B250" s="74" t="s">
        <v>495</v>
      </c>
      <c r="C250" s="50"/>
      <c r="D250" s="256"/>
      <c r="E250" s="256">
        <v>1.86</v>
      </c>
      <c r="F250" s="256">
        <v>2.86</v>
      </c>
      <c r="G250" s="256"/>
      <c r="H250" s="256"/>
      <c r="I250" s="256"/>
      <c r="J250" s="99">
        <f>F250*E250</f>
        <v>5.32</v>
      </c>
    </row>
    <row r="251" spans="1:10" ht="14.25">
      <c r="A251" s="43"/>
      <c r="B251" s="74" t="s">
        <v>496</v>
      </c>
      <c r="C251" s="50"/>
      <c r="D251" s="256"/>
      <c r="E251" s="256">
        <v>1.86</v>
      </c>
      <c r="F251" s="256">
        <v>2.86</v>
      </c>
      <c r="G251" s="256"/>
      <c r="H251" s="256"/>
      <c r="I251" s="256"/>
      <c r="J251" s="99">
        <f aca="true" t="shared" si="4" ref="J251:J263">F251*E251</f>
        <v>5.32</v>
      </c>
    </row>
    <row r="252" spans="1:10" ht="14.25">
      <c r="A252" s="43"/>
      <c r="B252" s="74" t="s">
        <v>497</v>
      </c>
      <c r="C252" s="50"/>
      <c r="D252" s="256"/>
      <c r="E252" s="256">
        <v>1</v>
      </c>
      <c r="F252" s="256">
        <v>1.81</v>
      </c>
      <c r="G252" s="256"/>
      <c r="H252" s="256"/>
      <c r="I252" s="256"/>
      <c r="J252" s="99">
        <f t="shared" si="4"/>
        <v>1.81</v>
      </c>
    </row>
    <row r="253" spans="1:10" ht="14.25">
      <c r="A253" s="43"/>
      <c r="B253" s="74" t="s">
        <v>498</v>
      </c>
      <c r="C253" s="50"/>
      <c r="D253" s="256"/>
      <c r="E253" s="256">
        <v>1.35</v>
      </c>
      <c r="F253" s="256">
        <v>2.86</v>
      </c>
      <c r="G253" s="256"/>
      <c r="H253" s="256"/>
      <c r="I253" s="256"/>
      <c r="J253" s="99">
        <f t="shared" si="4"/>
        <v>3.86</v>
      </c>
    </row>
    <row r="254" spans="1:10" ht="14.25">
      <c r="A254" s="479"/>
      <c r="B254" s="64" t="s">
        <v>499</v>
      </c>
      <c r="C254" s="50"/>
      <c r="D254" s="256"/>
      <c r="E254" s="256">
        <v>2.9</v>
      </c>
      <c r="F254" s="256">
        <v>2.86</v>
      </c>
      <c r="G254" s="256"/>
      <c r="H254" s="256"/>
      <c r="I254" s="256"/>
      <c r="J254" s="99">
        <f t="shared" si="4"/>
        <v>8.29</v>
      </c>
    </row>
    <row r="255" spans="1:10" ht="14.25">
      <c r="A255" s="43"/>
      <c r="B255" s="74" t="s">
        <v>500</v>
      </c>
      <c r="C255" s="50"/>
      <c r="D255" s="256"/>
      <c r="E255" s="256">
        <v>2</v>
      </c>
      <c r="F255" s="256">
        <v>1</v>
      </c>
      <c r="G255" s="256"/>
      <c r="H255" s="256"/>
      <c r="I255" s="256"/>
      <c r="J255" s="99">
        <f t="shared" si="4"/>
        <v>2</v>
      </c>
    </row>
    <row r="256" spans="1:10" ht="14.25">
      <c r="A256" s="43"/>
      <c r="B256" s="74" t="s">
        <v>501</v>
      </c>
      <c r="C256" s="50"/>
      <c r="D256" s="256"/>
      <c r="E256" s="256">
        <v>1.73</v>
      </c>
      <c r="F256" s="256">
        <v>4.2</v>
      </c>
      <c r="G256" s="256"/>
      <c r="H256" s="256"/>
      <c r="I256" s="256"/>
      <c r="J256" s="99">
        <f t="shared" si="4"/>
        <v>7.27</v>
      </c>
    </row>
    <row r="257" spans="1:10" ht="14.25">
      <c r="A257" s="43"/>
      <c r="B257" s="64" t="s">
        <v>502</v>
      </c>
      <c r="C257" s="50"/>
      <c r="D257" s="256"/>
      <c r="E257" s="256">
        <v>1.73</v>
      </c>
      <c r="F257" s="256">
        <v>4.2</v>
      </c>
      <c r="G257" s="256"/>
      <c r="H257" s="256"/>
      <c r="I257" s="256"/>
      <c r="J257" s="99">
        <f t="shared" si="4"/>
        <v>7.27</v>
      </c>
    </row>
    <row r="258" spans="1:10" ht="14.25">
      <c r="A258" s="43"/>
      <c r="B258" s="74" t="s">
        <v>503</v>
      </c>
      <c r="C258" s="50"/>
      <c r="D258" s="256"/>
      <c r="E258" s="256">
        <v>1.14</v>
      </c>
      <c r="F258" s="256">
        <v>1.2</v>
      </c>
      <c r="G258" s="256"/>
      <c r="H258" s="256"/>
      <c r="I258" s="256"/>
      <c r="J258" s="99">
        <f t="shared" si="4"/>
        <v>1.37</v>
      </c>
    </row>
    <row r="259" spans="1:10" ht="14.25">
      <c r="A259" s="43"/>
      <c r="B259" s="74" t="s">
        <v>504</v>
      </c>
      <c r="C259" s="50"/>
      <c r="D259" s="256"/>
      <c r="E259" s="256">
        <v>2.15</v>
      </c>
      <c r="F259" s="256">
        <v>2.85</v>
      </c>
      <c r="G259" s="256"/>
      <c r="H259" s="256"/>
      <c r="I259" s="256"/>
      <c r="J259" s="99">
        <f t="shared" si="4"/>
        <v>6.13</v>
      </c>
    </row>
    <row r="260" spans="1:10" ht="14.25">
      <c r="A260" s="43"/>
      <c r="B260" s="74" t="s">
        <v>505</v>
      </c>
      <c r="C260" s="50"/>
      <c r="D260" s="256"/>
      <c r="E260" s="256">
        <v>1.14</v>
      </c>
      <c r="F260" s="256">
        <v>2.85</v>
      </c>
      <c r="G260" s="256"/>
      <c r="H260" s="256"/>
      <c r="I260" s="256"/>
      <c r="J260" s="99">
        <f t="shared" si="4"/>
        <v>3.25</v>
      </c>
    </row>
    <row r="261" spans="1:10" ht="14.25">
      <c r="A261" s="43"/>
      <c r="B261" s="74" t="s">
        <v>506</v>
      </c>
      <c r="C261" s="50"/>
      <c r="D261" s="256"/>
      <c r="E261" s="256">
        <v>0.9</v>
      </c>
      <c r="F261" s="256">
        <v>1</v>
      </c>
      <c r="G261" s="256"/>
      <c r="H261" s="256"/>
      <c r="I261" s="256"/>
      <c r="J261" s="99">
        <f t="shared" si="4"/>
        <v>0.9</v>
      </c>
    </row>
    <row r="262" spans="1:10" ht="14.25">
      <c r="A262" s="43"/>
      <c r="B262" s="74" t="s">
        <v>507</v>
      </c>
      <c r="C262" s="50"/>
      <c r="D262" s="256"/>
      <c r="E262" s="256">
        <v>0.9</v>
      </c>
      <c r="F262" s="256">
        <v>1.45</v>
      </c>
      <c r="G262" s="256"/>
      <c r="H262" s="256"/>
      <c r="I262" s="256"/>
      <c r="J262" s="99">
        <f t="shared" si="4"/>
        <v>1.31</v>
      </c>
    </row>
    <row r="263" spans="1:10" ht="14.25">
      <c r="A263" s="43"/>
      <c r="B263" s="74" t="s">
        <v>508</v>
      </c>
      <c r="C263" s="50"/>
      <c r="D263" s="256"/>
      <c r="E263" s="256">
        <v>4.4</v>
      </c>
      <c r="F263" s="256">
        <v>1.45</v>
      </c>
      <c r="G263" s="256"/>
      <c r="H263" s="256"/>
      <c r="I263" s="256"/>
      <c r="J263" s="99">
        <f t="shared" si="4"/>
        <v>6.38</v>
      </c>
    </row>
    <row r="264" spans="1:10" ht="14.25">
      <c r="A264" s="43"/>
      <c r="B264" s="64" t="s">
        <v>509</v>
      </c>
      <c r="C264" s="50"/>
      <c r="D264" s="256"/>
      <c r="E264" s="256"/>
      <c r="F264" s="256"/>
      <c r="G264" s="256"/>
      <c r="H264" s="256"/>
      <c r="I264" s="256"/>
      <c r="J264" s="99"/>
    </row>
    <row r="265" spans="1:10" ht="14.25">
      <c r="A265" s="43"/>
      <c r="B265" s="74" t="s">
        <v>495</v>
      </c>
      <c r="C265" s="50"/>
      <c r="D265" s="256"/>
      <c r="E265" s="256">
        <v>1.72</v>
      </c>
      <c r="F265" s="256">
        <v>2.61</v>
      </c>
      <c r="G265" s="256"/>
      <c r="H265" s="256"/>
      <c r="I265" s="256"/>
      <c r="J265" s="99">
        <f>F265*E265</f>
        <v>4.49</v>
      </c>
    </row>
    <row r="266" spans="1:10" ht="14.25">
      <c r="A266" s="43"/>
      <c r="B266" s="74" t="s">
        <v>497</v>
      </c>
      <c r="C266" s="50"/>
      <c r="D266" s="256"/>
      <c r="E266" s="256">
        <v>1</v>
      </c>
      <c r="F266" s="256">
        <v>2.81</v>
      </c>
      <c r="G266" s="256"/>
      <c r="H266" s="256"/>
      <c r="I266" s="256"/>
      <c r="J266" s="99">
        <f>F266*E266</f>
        <v>2.81</v>
      </c>
    </row>
    <row r="267" spans="1:10" ht="14.25">
      <c r="A267" s="43"/>
      <c r="B267" s="74" t="s">
        <v>498</v>
      </c>
      <c r="C267" s="50"/>
      <c r="D267" s="256"/>
      <c r="E267" s="256">
        <v>4.4</v>
      </c>
      <c r="F267" s="256">
        <v>4.51</v>
      </c>
      <c r="G267" s="256"/>
      <c r="H267" s="256"/>
      <c r="I267" s="256"/>
      <c r="J267" s="99">
        <f>F267*E267</f>
        <v>19.84</v>
      </c>
    </row>
    <row r="268" spans="1:10" ht="14.25">
      <c r="A268" s="43"/>
      <c r="B268" s="74" t="s">
        <v>499</v>
      </c>
      <c r="C268" s="50"/>
      <c r="D268" s="256"/>
      <c r="E268" s="256">
        <v>1</v>
      </c>
      <c r="F268" s="256">
        <v>1.5</v>
      </c>
      <c r="G268" s="256"/>
      <c r="H268" s="256"/>
      <c r="I268" s="256"/>
      <c r="J268" s="99">
        <f>F268*E268</f>
        <v>1.5</v>
      </c>
    </row>
    <row r="269" spans="1:10" ht="14.25">
      <c r="A269" s="43"/>
      <c r="B269" s="74"/>
      <c r="C269" s="77"/>
      <c r="D269" s="258"/>
      <c r="E269" s="258"/>
      <c r="F269" s="258"/>
      <c r="G269" s="258"/>
      <c r="H269" s="258"/>
      <c r="I269" s="258"/>
      <c r="J269" s="107"/>
    </row>
    <row r="270" spans="1:14" ht="14.25">
      <c r="A270" s="53"/>
      <c r="B270" s="47"/>
      <c r="C270" s="54"/>
      <c r="D270" s="261"/>
      <c r="E270" s="261"/>
      <c r="F270" s="261"/>
      <c r="G270" s="261"/>
      <c r="H270" s="261"/>
      <c r="I270" s="262"/>
      <c r="J270" s="100"/>
      <c r="L270" s="39"/>
      <c r="M270" s="39"/>
      <c r="N270" s="39"/>
    </row>
    <row r="271" spans="1:14" ht="15">
      <c r="A271" s="61" t="s">
        <v>56</v>
      </c>
      <c r="B271" s="75" t="s">
        <v>34</v>
      </c>
      <c r="C271" s="76"/>
      <c r="D271" s="273"/>
      <c r="E271" s="273"/>
      <c r="F271" s="273"/>
      <c r="G271" s="273"/>
      <c r="H271" s="273"/>
      <c r="I271" s="273"/>
      <c r="J271" s="103"/>
      <c r="L271" s="39"/>
      <c r="M271" s="39"/>
      <c r="N271" s="39"/>
    </row>
    <row r="272" spans="1:14" ht="42.75">
      <c r="A272" s="91" t="s">
        <v>13</v>
      </c>
      <c r="B272" s="34" t="s">
        <v>256</v>
      </c>
      <c r="C272" s="35" t="s">
        <v>216</v>
      </c>
      <c r="D272" s="260" t="s">
        <v>208</v>
      </c>
      <c r="E272" s="260" t="s">
        <v>209</v>
      </c>
      <c r="F272" s="260" t="s">
        <v>210</v>
      </c>
      <c r="G272" s="260" t="s">
        <v>211</v>
      </c>
      <c r="H272" s="260" t="s">
        <v>212</v>
      </c>
      <c r="I272" s="260" t="s">
        <v>213</v>
      </c>
      <c r="J272" s="85">
        <f>SUM(J274:J277)</f>
        <v>101.51</v>
      </c>
      <c r="L272" s="39"/>
      <c r="M272" s="39"/>
      <c r="N272" s="39"/>
    </row>
    <row r="273" spans="1:14" ht="15">
      <c r="A273" s="93"/>
      <c r="B273" s="387" t="s">
        <v>454</v>
      </c>
      <c r="C273" s="118"/>
      <c r="D273" s="254"/>
      <c r="E273" s="254"/>
      <c r="F273" s="254"/>
      <c r="G273" s="254"/>
      <c r="H273" s="254"/>
      <c r="I273" s="254"/>
      <c r="J273" s="88"/>
      <c r="L273" s="39"/>
      <c r="M273" s="39"/>
      <c r="N273" s="39"/>
    </row>
    <row r="274" spans="1:14" ht="14.25">
      <c r="A274" s="80"/>
      <c r="B274" s="64" t="s">
        <v>510</v>
      </c>
      <c r="C274" s="50"/>
      <c r="D274" s="256">
        <v>1</v>
      </c>
      <c r="E274" s="256">
        <v>21.81</v>
      </c>
      <c r="F274" s="256"/>
      <c r="G274" s="256">
        <v>2.8</v>
      </c>
      <c r="H274" s="256"/>
      <c r="I274" s="256"/>
      <c r="J274" s="99">
        <f>E274*G274</f>
        <v>61.07</v>
      </c>
      <c r="L274" s="287"/>
      <c r="M274" s="288"/>
      <c r="N274" s="289"/>
    </row>
    <row r="275" spans="1:14" ht="14.25">
      <c r="A275" s="43"/>
      <c r="B275" s="84"/>
      <c r="C275" s="44"/>
      <c r="D275" s="263">
        <v>1</v>
      </c>
      <c r="E275" s="263">
        <v>4.35</v>
      </c>
      <c r="F275" s="263"/>
      <c r="G275" s="263">
        <v>2.8</v>
      </c>
      <c r="H275" s="263"/>
      <c r="I275" s="263"/>
      <c r="J275" s="97">
        <f>G275*E275*D275</f>
        <v>12.18</v>
      </c>
      <c r="L275" s="287"/>
      <c r="M275" s="288"/>
      <c r="N275" s="289"/>
    </row>
    <row r="276" spans="1:14" ht="15.75" customHeight="1">
      <c r="A276" s="43"/>
      <c r="B276" s="84" t="s">
        <v>511</v>
      </c>
      <c r="C276" s="44"/>
      <c r="D276" s="263">
        <v>1</v>
      </c>
      <c r="E276" s="263">
        <v>3.87</v>
      </c>
      <c r="F276" s="263"/>
      <c r="G276" s="263">
        <v>3</v>
      </c>
      <c r="H276" s="263"/>
      <c r="I276" s="263"/>
      <c r="J276" s="97">
        <f>G276*E276*D276</f>
        <v>11.61</v>
      </c>
      <c r="L276" s="287"/>
      <c r="M276" s="288"/>
      <c r="N276" s="289"/>
    </row>
    <row r="277" spans="1:14" ht="14.25">
      <c r="A277" s="43"/>
      <c r="B277" s="84" t="s">
        <v>512</v>
      </c>
      <c r="C277" s="44"/>
      <c r="D277" s="263">
        <v>1</v>
      </c>
      <c r="E277" s="263">
        <v>5.55</v>
      </c>
      <c r="F277" s="263"/>
      <c r="G277" s="263">
        <v>3</v>
      </c>
      <c r="H277" s="263"/>
      <c r="I277" s="263"/>
      <c r="J277" s="97">
        <f>G277*E277*D277</f>
        <v>16.65</v>
      </c>
      <c r="L277" s="287"/>
      <c r="M277" s="288"/>
      <c r="N277" s="289"/>
    </row>
    <row r="278" spans="1:14" ht="14.25">
      <c r="A278" s="43"/>
      <c r="B278" s="92"/>
      <c r="C278" s="44"/>
      <c r="D278" s="263"/>
      <c r="E278" s="263"/>
      <c r="F278" s="263"/>
      <c r="G278" s="263"/>
      <c r="H278" s="263"/>
      <c r="I278" s="263"/>
      <c r="J278" s="97"/>
      <c r="L278" s="287"/>
      <c r="M278" s="288"/>
      <c r="N278" s="289"/>
    </row>
    <row r="279" spans="1:14" ht="14.25">
      <c r="A279" s="53"/>
      <c r="B279" s="47"/>
      <c r="C279" s="54"/>
      <c r="D279" s="261"/>
      <c r="E279" s="261"/>
      <c r="F279" s="261"/>
      <c r="G279" s="261"/>
      <c r="H279" s="261"/>
      <c r="I279" s="262"/>
      <c r="J279" s="100"/>
      <c r="L279" s="283"/>
      <c r="M279" s="288"/>
      <c r="N279" s="285"/>
    </row>
    <row r="280" spans="1:14" ht="42.75">
      <c r="A280" s="56" t="s">
        <v>14</v>
      </c>
      <c r="B280" s="34" t="s">
        <v>258</v>
      </c>
      <c r="C280" s="35" t="s">
        <v>216</v>
      </c>
      <c r="D280" s="260" t="s">
        <v>208</v>
      </c>
      <c r="E280" s="260" t="s">
        <v>209</v>
      </c>
      <c r="F280" s="260" t="s">
        <v>210</v>
      </c>
      <c r="G280" s="260" t="s">
        <v>211</v>
      </c>
      <c r="H280" s="260" t="s">
        <v>212</v>
      </c>
      <c r="I280" s="260" t="s">
        <v>213</v>
      </c>
      <c r="J280" s="85">
        <f>SUM(J281:J301)</f>
        <v>310.46</v>
      </c>
      <c r="L280" s="283"/>
      <c r="M280" s="288"/>
      <c r="N280" s="285"/>
    </row>
    <row r="281" spans="1:14" ht="14.25">
      <c r="A281" s="57"/>
      <c r="B281" s="387" t="s">
        <v>454</v>
      </c>
      <c r="C281" s="58"/>
      <c r="D281" s="263"/>
      <c r="E281" s="263"/>
      <c r="F281" s="265"/>
      <c r="G281" s="265"/>
      <c r="H281" s="265"/>
      <c r="I281" s="265"/>
      <c r="J281" s="102"/>
      <c r="L281" s="283"/>
      <c r="M281" s="288"/>
      <c r="N281" s="285"/>
    </row>
    <row r="282" spans="1:14" ht="14.25">
      <c r="A282" s="43"/>
      <c r="B282" s="64" t="s">
        <v>513</v>
      </c>
      <c r="C282" s="44"/>
      <c r="D282" s="263">
        <v>4</v>
      </c>
      <c r="E282" s="263">
        <v>2.86</v>
      </c>
      <c r="F282" s="263"/>
      <c r="G282" s="263">
        <v>2.8</v>
      </c>
      <c r="H282" s="263"/>
      <c r="I282" s="263"/>
      <c r="J282" s="97">
        <f aca="true" t="shared" si="5" ref="J282:J301">G282*E282*D282</f>
        <v>32.03</v>
      </c>
      <c r="L282" s="283"/>
      <c r="M282" s="288"/>
      <c r="N282" s="285"/>
    </row>
    <row r="283" spans="1:14" ht="14.25">
      <c r="A283" s="43"/>
      <c r="B283" s="49"/>
      <c r="C283" s="44"/>
      <c r="D283" s="263">
        <v>1</v>
      </c>
      <c r="E283" s="263">
        <v>7.07</v>
      </c>
      <c r="F283" s="263"/>
      <c r="G283" s="263">
        <v>2.8</v>
      </c>
      <c r="H283" s="263"/>
      <c r="I283" s="263"/>
      <c r="J283" s="97">
        <f t="shared" si="5"/>
        <v>19.8</v>
      </c>
      <c r="L283" s="283"/>
      <c r="M283" s="288"/>
      <c r="N283" s="285"/>
    </row>
    <row r="284" spans="1:14" ht="14.25">
      <c r="A284" s="43"/>
      <c r="B284" s="49" t="s">
        <v>514</v>
      </c>
      <c r="C284" s="44"/>
      <c r="D284" s="263">
        <v>3</v>
      </c>
      <c r="E284" s="263">
        <v>4.2</v>
      </c>
      <c r="F284" s="263"/>
      <c r="G284" s="263">
        <v>2.8</v>
      </c>
      <c r="H284" s="263"/>
      <c r="I284" s="263"/>
      <c r="J284" s="97">
        <f t="shared" si="5"/>
        <v>35.28</v>
      </c>
      <c r="L284" s="283"/>
      <c r="M284" s="288"/>
      <c r="N284" s="285"/>
    </row>
    <row r="285" spans="1:14" ht="14.25">
      <c r="A285" s="43"/>
      <c r="B285" s="49"/>
      <c r="C285" s="50"/>
      <c r="D285" s="263">
        <v>1</v>
      </c>
      <c r="E285" s="263">
        <v>3.6</v>
      </c>
      <c r="F285" s="255"/>
      <c r="G285" s="255">
        <v>2.8</v>
      </c>
      <c r="H285" s="255"/>
      <c r="I285" s="256"/>
      <c r="J285" s="97">
        <f t="shared" si="5"/>
        <v>10.08</v>
      </c>
      <c r="L285" s="283"/>
      <c r="M285" s="288"/>
      <c r="N285" s="285"/>
    </row>
    <row r="286" spans="1:14" ht="28.5">
      <c r="A286" s="43"/>
      <c r="B286" s="386" t="s">
        <v>515</v>
      </c>
      <c r="C286" s="50"/>
      <c r="D286" s="263">
        <v>1</v>
      </c>
      <c r="E286" s="263">
        <v>4.2</v>
      </c>
      <c r="F286" s="255"/>
      <c r="G286" s="255">
        <v>2.8</v>
      </c>
      <c r="H286" s="255"/>
      <c r="I286" s="256"/>
      <c r="J286" s="99">
        <f t="shared" si="5"/>
        <v>11.76</v>
      </c>
      <c r="L286" s="283"/>
      <c r="M286" s="288"/>
      <c r="N286" s="285"/>
    </row>
    <row r="287" spans="1:14" ht="14.25">
      <c r="A287" s="43"/>
      <c r="B287" s="84"/>
      <c r="C287" s="65"/>
      <c r="D287" s="263">
        <v>1</v>
      </c>
      <c r="E287" s="263">
        <v>3</v>
      </c>
      <c r="F287" s="255"/>
      <c r="G287" s="255">
        <v>2.8</v>
      </c>
      <c r="H287" s="255"/>
      <c r="I287" s="256"/>
      <c r="J287" s="99">
        <f t="shared" si="5"/>
        <v>8.4</v>
      </c>
      <c r="L287" s="283"/>
      <c r="M287" s="288"/>
      <c r="N287" s="285"/>
    </row>
    <row r="288" spans="1:14" ht="14.25">
      <c r="A288" s="43"/>
      <c r="B288" s="84"/>
      <c r="C288" s="65"/>
      <c r="D288" s="263">
        <v>1</v>
      </c>
      <c r="E288" s="263">
        <v>3.79</v>
      </c>
      <c r="F288" s="255"/>
      <c r="G288" s="255">
        <v>2.8</v>
      </c>
      <c r="H288" s="255"/>
      <c r="I288" s="256"/>
      <c r="J288" s="99">
        <f t="shared" si="5"/>
        <v>10.61</v>
      </c>
      <c r="L288" s="283"/>
      <c r="M288" s="288"/>
      <c r="N288" s="285"/>
    </row>
    <row r="289" spans="1:14" ht="14.25">
      <c r="A289" s="43"/>
      <c r="B289" s="84" t="s">
        <v>516</v>
      </c>
      <c r="C289" s="65"/>
      <c r="D289" s="263">
        <v>3</v>
      </c>
      <c r="E289" s="263">
        <v>1.5</v>
      </c>
      <c r="F289" s="255"/>
      <c r="G289" s="255">
        <v>2.8</v>
      </c>
      <c r="H289" s="255"/>
      <c r="I289" s="256"/>
      <c r="J289" s="99">
        <f t="shared" si="5"/>
        <v>12.6</v>
      </c>
      <c r="L289" s="283"/>
      <c r="M289" s="288"/>
      <c r="N289" s="285"/>
    </row>
    <row r="290" spans="1:14" ht="14.25">
      <c r="A290" s="43"/>
      <c r="B290" s="84"/>
      <c r="C290" s="65"/>
      <c r="D290" s="263">
        <v>1</v>
      </c>
      <c r="E290" s="263">
        <v>3.8</v>
      </c>
      <c r="F290" s="255"/>
      <c r="G290" s="255">
        <v>2.8</v>
      </c>
      <c r="H290" s="255"/>
      <c r="I290" s="256"/>
      <c r="J290" s="99">
        <f t="shared" si="5"/>
        <v>10.64</v>
      </c>
      <c r="L290" s="283"/>
      <c r="M290" s="288"/>
      <c r="N290" s="285"/>
    </row>
    <row r="291" spans="1:14" ht="14.25">
      <c r="A291" s="43"/>
      <c r="B291" s="84" t="s">
        <v>517</v>
      </c>
      <c r="C291" s="65"/>
      <c r="D291" s="263">
        <v>1</v>
      </c>
      <c r="E291" s="263">
        <v>3.95</v>
      </c>
      <c r="F291" s="255"/>
      <c r="G291" s="255">
        <v>2.8</v>
      </c>
      <c r="H291" s="255"/>
      <c r="I291" s="256"/>
      <c r="J291" s="99">
        <f t="shared" si="5"/>
        <v>11.06</v>
      </c>
      <c r="L291" s="283"/>
      <c r="M291" s="288"/>
      <c r="N291" s="285"/>
    </row>
    <row r="292" spans="1:14" ht="14.25">
      <c r="A292" s="43"/>
      <c r="B292" s="84" t="s">
        <v>518</v>
      </c>
      <c r="C292" s="65"/>
      <c r="D292" s="263">
        <v>1</v>
      </c>
      <c r="E292" s="263">
        <v>1.27</v>
      </c>
      <c r="F292" s="255"/>
      <c r="G292" s="255">
        <v>2.8</v>
      </c>
      <c r="H292" s="255"/>
      <c r="I292" s="256"/>
      <c r="J292" s="99">
        <f t="shared" si="5"/>
        <v>3.56</v>
      </c>
      <c r="L292" s="283"/>
      <c r="M292" s="288"/>
      <c r="N292" s="285"/>
    </row>
    <row r="293" spans="1:14" ht="14.25">
      <c r="A293" s="43"/>
      <c r="B293" s="84" t="s">
        <v>519</v>
      </c>
      <c r="C293" s="65"/>
      <c r="D293" s="263">
        <v>1</v>
      </c>
      <c r="E293" s="263">
        <v>3.48</v>
      </c>
      <c r="F293" s="255"/>
      <c r="G293" s="255">
        <v>2.8</v>
      </c>
      <c r="H293" s="255"/>
      <c r="I293" s="256"/>
      <c r="J293" s="99">
        <f t="shared" si="5"/>
        <v>9.74</v>
      </c>
      <c r="L293" s="283"/>
      <c r="M293" s="288"/>
      <c r="N293" s="285"/>
    </row>
    <row r="294" spans="1:14" ht="14.25">
      <c r="A294" s="43"/>
      <c r="B294" s="84"/>
      <c r="C294" s="65"/>
      <c r="D294" s="263">
        <v>1</v>
      </c>
      <c r="E294" s="263">
        <v>4.12</v>
      </c>
      <c r="F294" s="255"/>
      <c r="G294" s="255">
        <v>2.8</v>
      </c>
      <c r="H294" s="255"/>
      <c r="I294" s="256"/>
      <c r="J294" s="99">
        <f t="shared" si="5"/>
        <v>11.54</v>
      </c>
      <c r="L294" s="283"/>
      <c r="M294" s="288"/>
      <c r="N294" s="285"/>
    </row>
    <row r="295" spans="1:14" ht="14.25">
      <c r="A295" s="43"/>
      <c r="B295" s="84" t="s">
        <v>520</v>
      </c>
      <c r="C295" s="65"/>
      <c r="D295" s="263">
        <v>2</v>
      </c>
      <c r="E295" s="263">
        <v>1.69</v>
      </c>
      <c r="F295" s="255"/>
      <c r="G295" s="255">
        <v>2.8</v>
      </c>
      <c r="H295" s="255"/>
      <c r="I295" s="256"/>
      <c r="J295" s="99">
        <f t="shared" si="5"/>
        <v>9.46</v>
      </c>
      <c r="L295" s="283"/>
      <c r="M295" s="288"/>
      <c r="N295" s="285"/>
    </row>
    <row r="296" spans="1:14" ht="14.25">
      <c r="A296" s="43"/>
      <c r="B296" s="84"/>
      <c r="C296" s="65"/>
      <c r="D296" s="263">
        <v>1</v>
      </c>
      <c r="E296" s="263">
        <v>2.9</v>
      </c>
      <c r="F296" s="255"/>
      <c r="G296" s="255">
        <v>2.8</v>
      </c>
      <c r="H296" s="255"/>
      <c r="I296" s="256"/>
      <c r="J296" s="99">
        <f t="shared" si="5"/>
        <v>8.12</v>
      </c>
      <c r="L296" s="283"/>
      <c r="M296" s="288"/>
      <c r="N296" s="285"/>
    </row>
    <row r="297" spans="1:14" ht="14.25">
      <c r="A297" s="43"/>
      <c r="B297" s="84" t="s">
        <v>543</v>
      </c>
      <c r="C297" s="65"/>
      <c r="D297" s="263"/>
      <c r="E297" s="263"/>
      <c r="F297" s="255"/>
      <c r="G297" s="255"/>
      <c r="H297" s="255"/>
      <c r="I297" s="256"/>
      <c r="J297" s="97"/>
      <c r="L297" s="283"/>
      <c r="M297" s="288"/>
      <c r="N297" s="285"/>
    </row>
    <row r="298" spans="1:14" ht="14.25">
      <c r="A298" s="43"/>
      <c r="B298" s="84" t="s">
        <v>521</v>
      </c>
      <c r="C298" s="65"/>
      <c r="D298" s="263">
        <v>1</v>
      </c>
      <c r="E298" s="263">
        <v>3.45</v>
      </c>
      <c r="F298" s="255"/>
      <c r="G298" s="255">
        <v>1.45</v>
      </c>
      <c r="H298" s="255"/>
      <c r="I298" s="256"/>
      <c r="J298" s="99">
        <f t="shared" si="5"/>
        <v>5</v>
      </c>
      <c r="L298" s="283"/>
      <c r="M298" s="288"/>
      <c r="N298" s="285"/>
    </row>
    <row r="299" spans="1:14" ht="14.25">
      <c r="A299" s="43"/>
      <c r="B299" s="84" t="s">
        <v>291</v>
      </c>
      <c r="C299" s="65"/>
      <c r="D299" s="263">
        <v>1</v>
      </c>
      <c r="E299" s="263">
        <v>25.54</v>
      </c>
      <c r="F299" s="255"/>
      <c r="G299" s="255">
        <v>1.45</v>
      </c>
      <c r="H299" s="255"/>
      <c r="I299" s="256"/>
      <c r="J299" s="99">
        <f t="shared" si="5"/>
        <v>37.03</v>
      </c>
      <c r="L299" s="283"/>
      <c r="M299" s="288"/>
      <c r="N299" s="285"/>
    </row>
    <row r="300" spans="1:14" ht="14.25">
      <c r="A300" s="43"/>
      <c r="B300" s="84" t="s">
        <v>522</v>
      </c>
      <c r="C300" s="65"/>
      <c r="D300" s="263">
        <v>1</v>
      </c>
      <c r="E300" s="263">
        <v>12.1</v>
      </c>
      <c r="F300" s="255"/>
      <c r="G300" s="255">
        <v>1.45</v>
      </c>
      <c r="H300" s="255"/>
      <c r="I300" s="256"/>
      <c r="J300" s="99">
        <f t="shared" si="5"/>
        <v>17.55</v>
      </c>
      <c r="L300" s="283"/>
      <c r="M300" s="288"/>
      <c r="N300" s="285"/>
    </row>
    <row r="301" spans="1:14" ht="14.25">
      <c r="A301" s="43"/>
      <c r="B301" s="84" t="s">
        <v>523</v>
      </c>
      <c r="C301" s="65"/>
      <c r="D301" s="263">
        <v>2</v>
      </c>
      <c r="E301" s="263">
        <v>15.93</v>
      </c>
      <c r="F301" s="255"/>
      <c r="G301" s="255">
        <v>1.45</v>
      </c>
      <c r="H301" s="255"/>
      <c r="I301" s="256"/>
      <c r="J301" s="99">
        <f t="shared" si="5"/>
        <v>46.2</v>
      </c>
      <c r="L301" s="283"/>
      <c r="M301" s="288"/>
      <c r="N301" s="285"/>
    </row>
    <row r="302" spans="1:14" ht="14.25">
      <c r="A302" s="43"/>
      <c r="B302" s="84"/>
      <c r="C302" s="65"/>
      <c r="D302" s="263"/>
      <c r="E302" s="263"/>
      <c r="F302" s="255"/>
      <c r="G302" s="255"/>
      <c r="H302" s="255"/>
      <c r="I302" s="256"/>
      <c r="J302" s="97"/>
      <c r="L302" s="283"/>
      <c r="M302" s="288"/>
      <c r="N302" s="285"/>
    </row>
    <row r="303" spans="1:14" ht="14.25">
      <c r="A303" s="53"/>
      <c r="B303" s="47"/>
      <c r="C303" s="54"/>
      <c r="D303" s="261"/>
      <c r="E303" s="261"/>
      <c r="F303" s="261"/>
      <c r="G303" s="261"/>
      <c r="H303" s="261"/>
      <c r="I303" s="262"/>
      <c r="J303" s="100"/>
      <c r="L303" s="283"/>
      <c r="M303" s="288"/>
      <c r="N303" s="285"/>
    </row>
    <row r="304" spans="1:10" ht="15">
      <c r="A304" s="42" t="s">
        <v>57</v>
      </c>
      <c r="B304" s="62" t="s">
        <v>259</v>
      </c>
      <c r="C304" s="63"/>
      <c r="D304" s="266"/>
      <c r="E304" s="266"/>
      <c r="F304" s="266"/>
      <c r="G304" s="266"/>
      <c r="H304" s="266"/>
      <c r="I304" s="266"/>
      <c r="J304" s="103"/>
    </row>
    <row r="305" spans="1:10" ht="42.75">
      <c r="A305" s="56" t="s">
        <v>15</v>
      </c>
      <c r="B305" s="34" t="s">
        <v>260</v>
      </c>
      <c r="C305" s="35" t="s">
        <v>220</v>
      </c>
      <c r="D305" s="260" t="s">
        <v>208</v>
      </c>
      <c r="E305" s="260" t="s">
        <v>209</v>
      </c>
      <c r="F305" s="260" t="s">
        <v>210</v>
      </c>
      <c r="G305" s="260" t="s">
        <v>211</v>
      </c>
      <c r="H305" s="260" t="s">
        <v>212</v>
      </c>
      <c r="I305" s="260" t="s">
        <v>213</v>
      </c>
      <c r="J305" s="85">
        <f>SUM(J307:J335)</f>
        <v>70.94</v>
      </c>
    </row>
    <row r="306" spans="1:10" ht="14.25">
      <c r="A306" s="79"/>
      <c r="B306" s="49" t="s">
        <v>269</v>
      </c>
      <c r="C306" s="58"/>
      <c r="D306" s="265"/>
      <c r="E306" s="265"/>
      <c r="F306" s="265"/>
      <c r="G306" s="265"/>
      <c r="H306" s="265"/>
      <c r="I306" s="265"/>
      <c r="J306" s="102"/>
    </row>
    <row r="307" spans="1:10" ht="14.25">
      <c r="A307" s="80"/>
      <c r="B307" s="49" t="s">
        <v>285</v>
      </c>
      <c r="C307" s="44"/>
      <c r="D307" s="263">
        <v>3</v>
      </c>
      <c r="E307" s="263">
        <v>0.8</v>
      </c>
      <c r="F307" s="263"/>
      <c r="G307" s="263"/>
      <c r="H307" s="263"/>
      <c r="I307" s="263"/>
      <c r="J307" s="97">
        <f>E307*D307</f>
        <v>2.4</v>
      </c>
    </row>
    <row r="308" spans="1:10" ht="14.25">
      <c r="A308" s="43"/>
      <c r="B308" s="49" t="s">
        <v>286</v>
      </c>
      <c r="C308" s="44"/>
      <c r="D308" s="263">
        <v>1</v>
      </c>
      <c r="E308" s="263">
        <v>0.8</v>
      </c>
      <c r="F308" s="263"/>
      <c r="G308" s="263"/>
      <c r="H308" s="263"/>
      <c r="I308" s="263"/>
      <c r="J308" s="97">
        <f>E308*D308</f>
        <v>0.8</v>
      </c>
    </row>
    <row r="309" spans="1:10" ht="14.25">
      <c r="A309" s="43"/>
      <c r="B309" s="49" t="s">
        <v>287</v>
      </c>
      <c r="C309" s="44"/>
      <c r="D309" s="263">
        <v>2</v>
      </c>
      <c r="E309" s="263">
        <v>0.8</v>
      </c>
      <c r="F309" s="263"/>
      <c r="G309" s="263"/>
      <c r="H309" s="263"/>
      <c r="I309" s="263"/>
      <c r="J309" s="97">
        <f aca="true" t="shared" si="6" ref="J309:J320">E309*D309</f>
        <v>1.6</v>
      </c>
    </row>
    <row r="310" spans="1:10" ht="14.25">
      <c r="A310" s="43"/>
      <c r="B310" s="49" t="s">
        <v>288</v>
      </c>
      <c r="C310" s="44"/>
      <c r="D310" s="263">
        <v>1</v>
      </c>
      <c r="E310" s="263">
        <v>0.8</v>
      </c>
      <c r="F310" s="263"/>
      <c r="G310" s="263"/>
      <c r="H310" s="263"/>
      <c r="I310" s="263"/>
      <c r="J310" s="97">
        <f t="shared" si="6"/>
        <v>0.8</v>
      </c>
    </row>
    <row r="311" spans="1:10" ht="14.25">
      <c r="A311" s="43"/>
      <c r="B311" s="49" t="s">
        <v>261</v>
      </c>
      <c r="C311" s="44"/>
      <c r="D311" s="263">
        <v>5</v>
      </c>
      <c r="E311" s="263">
        <v>0.8</v>
      </c>
      <c r="F311" s="263"/>
      <c r="G311" s="263"/>
      <c r="H311" s="263"/>
      <c r="I311" s="263"/>
      <c r="J311" s="97">
        <f t="shared" si="6"/>
        <v>4</v>
      </c>
    </row>
    <row r="312" spans="1:10" ht="14.25">
      <c r="A312" s="43"/>
      <c r="B312" s="49" t="s">
        <v>262</v>
      </c>
      <c r="C312" s="44"/>
      <c r="D312" s="263">
        <v>4</v>
      </c>
      <c r="E312" s="263">
        <v>0.8</v>
      </c>
      <c r="F312" s="263"/>
      <c r="G312" s="263"/>
      <c r="H312" s="263"/>
      <c r="I312" s="263"/>
      <c r="J312" s="97">
        <f t="shared" si="6"/>
        <v>3.2</v>
      </c>
    </row>
    <row r="313" spans="1:10" ht="14.25">
      <c r="A313" s="43"/>
      <c r="B313" s="49" t="s">
        <v>263</v>
      </c>
      <c r="C313" s="44"/>
      <c r="D313" s="263">
        <v>2</v>
      </c>
      <c r="E313" s="263">
        <v>0.8</v>
      </c>
      <c r="F313" s="263"/>
      <c r="G313" s="263"/>
      <c r="H313" s="263"/>
      <c r="I313" s="263"/>
      <c r="J313" s="97">
        <f t="shared" si="6"/>
        <v>1.6</v>
      </c>
    </row>
    <row r="314" spans="1:10" ht="14.25">
      <c r="A314" s="43"/>
      <c r="B314" s="49" t="s">
        <v>264</v>
      </c>
      <c r="C314" s="44"/>
      <c r="D314" s="263">
        <v>1</v>
      </c>
      <c r="E314" s="263">
        <v>1</v>
      </c>
      <c r="F314" s="263"/>
      <c r="G314" s="263"/>
      <c r="H314" s="263"/>
      <c r="I314" s="263"/>
      <c r="J314" s="97">
        <f t="shared" si="6"/>
        <v>1</v>
      </c>
    </row>
    <row r="315" spans="1:10" ht="14.25">
      <c r="A315" s="43"/>
      <c r="B315" s="49" t="s">
        <v>289</v>
      </c>
      <c r="C315" s="44"/>
      <c r="D315" s="263">
        <v>2</v>
      </c>
      <c r="E315" s="263">
        <v>0.8</v>
      </c>
      <c r="F315" s="263"/>
      <c r="G315" s="263"/>
      <c r="H315" s="263"/>
      <c r="I315" s="263"/>
      <c r="J315" s="97">
        <f t="shared" si="6"/>
        <v>1.6</v>
      </c>
    </row>
    <row r="316" spans="1:10" ht="14.25">
      <c r="A316" s="43"/>
      <c r="B316" s="49" t="s">
        <v>265</v>
      </c>
      <c r="C316" s="44"/>
      <c r="D316" s="263">
        <v>2</v>
      </c>
      <c r="E316" s="263">
        <v>0.8</v>
      </c>
      <c r="F316" s="263"/>
      <c r="G316" s="263"/>
      <c r="H316" s="263"/>
      <c r="I316" s="263"/>
      <c r="J316" s="97">
        <f t="shared" si="6"/>
        <v>1.6</v>
      </c>
    </row>
    <row r="317" spans="1:10" ht="14.25">
      <c r="A317" s="43"/>
      <c r="B317" s="49" t="s">
        <v>266</v>
      </c>
      <c r="C317" s="44"/>
      <c r="D317" s="263">
        <v>4</v>
      </c>
      <c r="E317" s="263">
        <v>0.8</v>
      </c>
      <c r="F317" s="263"/>
      <c r="G317" s="263"/>
      <c r="H317" s="263"/>
      <c r="I317" s="263"/>
      <c r="J317" s="97">
        <f t="shared" si="6"/>
        <v>3.2</v>
      </c>
    </row>
    <row r="318" spans="1:10" ht="14.25">
      <c r="A318" s="43"/>
      <c r="B318" s="49" t="s">
        <v>267</v>
      </c>
      <c r="C318" s="44"/>
      <c r="D318" s="263">
        <v>4</v>
      </c>
      <c r="E318" s="263">
        <v>0.6</v>
      </c>
      <c r="F318" s="263"/>
      <c r="G318" s="263"/>
      <c r="H318" s="263"/>
      <c r="I318" s="263"/>
      <c r="J318" s="97">
        <f t="shared" si="6"/>
        <v>2.4</v>
      </c>
    </row>
    <row r="319" spans="1:10" ht="14.25">
      <c r="A319" s="43"/>
      <c r="B319" s="49" t="s">
        <v>268</v>
      </c>
      <c r="C319" s="44"/>
      <c r="D319" s="263">
        <v>1</v>
      </c>
      <c r="E319" s="263">
        <v>1.2</v>
      </c>
      <c r="F319" s="263"/>
      <c r="G319" s="263"/>
      <c r="H319" s="263"/>
      <c r="I319" s="263"/>
      <c r="J319" s="97">
        <f t="shared" si="6"/>
        <v>1.2</v>
      </c>
    </row>
    <row r="320" spans="1:10" ht="14.25">
      <c r="A320" s="43"/>
      <c r="B320" s="49" t="s">
        <v>524</v>
      </c>
      <c r="C320" s="44"/>
      <c r="D320" s="263">
        <v>2</v>
      </c>
      <c r="E320" s="263">
        <v>0.6</v>
      </c>
      <c r="F320" s="263"/>
      <c r="G320" s="263"/>
      <c r="H320" s="263"/>
      <c r="I320" s="263"/>
      <c r="J320" s="97">
        <f t="shared" si="6"/>
        <v>1.2</v>
      </c>
    </row>
    <row r="321" spans="1:10" ht="14.25">
      <c r="A321" s="43"/>
      <c r="B321" s="49" t="s">
        <v>270</v>
      </c>
      <c r="C321" s="44"/>
      <c r="D321" s="263"/>
      <c r="E321" s="263"/>
      <c r="F321" s="263"/>
      <c r="G321" s="263"/>
      <c r="H321" s="263"/>
      <c r="I321" s="263"/>
      <c r="J321" s="97"/>
    </row>
    <row r="322" spans="1:10" ht="14.25">
      <c r="A322" s="479"/>
      <c r="B322" s="49" t="s">
        <v>271</v>
      </c>
      <c r="C322" s="44"/>
      <c r="D322" s="263">
        <v>6</v>
      </c>
      <c r="E322" s="263">
        <v>2</v>
      </c>
      <c r="F322" s="263"/>
      <c r="G322" s="263"/>
      <c r="H322" s="263"/>
      <c r="I322" s="263"/>
      <c r="J322" s="97">
        <f>E322*D322</f>
        <v>12</v>
      </c>
    </row>
    <row r="323" spans="1:10" ht="14.25">
      <c r="A323" s="43"/>
      <c r="B323" s="49" t="s">
        <v>272</v>
      </c>
      <c r="C323" s="44"/>
      <c r="D323" s="263">
        <v>3</v>
      </c>
      <c r="E323" s="263">
        <v>1.5</v>
      </c>
      <c r="F323" s="263"/>
      <c r="G323" s="263"/>
      <c r="H323" s="263"/>
      <c r="I323" s="263"/>
      <c r="J323" s="97">
        <f aca="true" t="shared" si="7" ref="J323:J335">E323*D323</f>
        <v>4.5</v>
      </c>
    </row>
    <row r="324" spans="1:10" ht="14.25">
      <c r="A324" s="43"/>
      <c r="B324" s="49" t="s">
        <v>273</v>
      </c>
      <c r="C324" s="44"/>
      <c r="D324" s="263">
        <v>4</v>
      </c>
      <c r="E324" s="263">
        <v>1</v>
      </c>
      <c r="F324" s="263"/>
      <c r="G324" s="263"/>
      <c r="H324" s="263"/>
      <c r="I324" s="263"/>
      <c r="J324" s="97">
        <f t="shared" si="7"/>
        <v>4</v>
      </c>
    </row>
    <row r="325" spans="1:10" ht="14.25">
      <c r="A325" s="43"/>
      <c r="B325" s="49" t="s">
        <v>274</v>
      </c>
      <c r="C325" s="44"/>
      <c r="D325" s="263">
        <v>3</v>
      </c>
      <c r="E325" s="263">
        <v>1</v>
      </c>
      <c r="F325" s="263"/>
      <c r="G325" s="263"/>
      <c r="H325" s="263"/>
      <c r="I325" s="263"/>
      <c r="J325" s="97">
        <f t="shared" si="7"/>
        <v>3</v>
      </c>
    </row>
    <row r="326" spans="1:10" ht="14.25">
      <c r="A326" s="43"/>
      <c r="B326" s="49" t="s">
        <v>275</v>
      </c>
      <c r="C326" s="44"/>
      <c r="D326" s="263">
        <v>2</v>
      </c>
      <c r="E326" s="263">
        <v>0.6</v>
      </c>
      <c r="F326" s="263"/>
      <c r="G326" s="263"/>
      <c r="H326" s="263"/>
      <c r="I326" s="263"/>
      <c r="J326" s="97">
        <f t="shared" si="7"/>
        <v>1.2</v>
      </c>
    </row>
    <row r="327" spans="1:10" ht="14.25">
      <c r="A327" s="43"/>
      <c r="B327" s="49" t="s">
        <v>276</v>
      </c>
      <c r="C327" s="44"/>
      <c r="D327" s="263">
        <v>1</v>
      </c>
      <c r="E327" s="263">
        <v>1</v>
      </c>
      <c r="F327" s="263"/>
      <c r="G327" s="263"/>
      <c r="H327" s="263"/>
      <c r="I327" s="263"/>
      <c r="J327" s="97">
        <f t="shared" si="7"/>
        <v>1</v>
      </c>
    </row>
    <row r="328" spans="1:10" ht="14.25">
      <c r="A328" s="43"/>
      <c r="B328" s="49" t="s">
        <v>277</v>
      </c>
      <c r="C328" s="44"/>
      <c r="D328" s="263">
        <v>1</v>
      </c>
      <c r="E328" s="263">
        <v>2</v>
      </c>
      <c r="F328" s="263"/>
      <c r="G328" s="263"/>
      <c r="H328" s="263"/>
      <c r="I328" s="263"/>
      <c r="J328" s="97">
        <f t="shared" si="7"/>
        <v>2</v>
      </c>
    </row>
    <row r="329" spans="1:10" ht="14.25">
      <c r="A329" s="43"/>
      <c r="B329" s="49" t="s">
        <v>526</v>
      </c>
      <c r="C329" s="44"/>
      <c r="D329" s="263">
        <v>2</v>
      </c>
      <c r="E329" s="263">
        <v>0.8</v>
      </c>
      <c r="F329" s="263"/>
      <c r="G329" s="263"/>
      <c r="H329" s="263"/>
      <c r="I329" s="263"/>
      <c r="J329" s="97">
        <f t="shared" si="7"/>
        <v>1.6</v>
      </c>
    </row>
    <row r="330" spans="1:10" ht="14.25">
      <c r="A330" s="43"/>
      <c r="B330" s="49" t="s">
        <v>278</v>
      </c>
      <c r="C330" s="44"/>
      <c r="D330" s="263">
        <v>2</v>
      </c>
      <c r="E330" s="263">
        <v>0.8</v>
      </c>
      <c r="F330" s="263"/>
      <c r="G330" s="263"/>
      <c r="H330" s="263"/>
      <c r="I330" s="263"/>
      <c r="J330" s="97">
        <f t="shared" si="7"/>
        <v>1.6</v>
      </c>
    </row>
    <row r="331" spans="1:10" ht="14.25">
      <c r="A331" s="43"/>
      <c r="B331" s="49" t="s">
        <v>279</v>
      </c>
      <c r="C331" s="44"/>
      <c r="D331" s="263">
        <v>2</v>
      </c>
      <c r="E331" s="263">
        <v>1.2</v>
      </c>
      <c r="F331" s="263"/>
      <c r="G331" s="263"/>
      <c r="H331" s="263"/>
      <c r="I331" s="263"/>
      <c r="J331" s="97">
        <f t="shared" si="7"/>
        <v>2.4</v>
      </c>
    </row>
    <row r="332" spans="1:10" ht="14.25">
      <c r="A332" s="43"/>
      <c r="B332" s="49" t="s">
        <v>280</v>
      </c>
      <c r="C332" s="44"/>
      <c r="D332" s="263">
        <v>2</v>
      </c>
      <c r="E332" s="263">
        <v>1.5</v>
      </c>
      <c r="F332" s="263"/>
      <c r="G332" s="263"/>
      <c r="H332" s="263"/>
      <c r="I332" s="263"/>
      <c r="J332" s="97">
        <f t="shared" si="7"/>
        <v>3</v>
      </c>
    </row>
    <row r="333" spans="1:10" ht="14.25">
      <c r="A333" s="43"/>
      <c r="B333" s="49" t="s">
        <v>281</v>
      </c>
      <c r="C333" s="44"/>
      <c r="D333" s="263">
        <v>2</v>
      </c>
      <c r="E333" s="263">
        <v>1.05</v>
      </c>
      <c r="F333" s="263"/>
      <c r="G333" s="263"/>
      <c r="H333" s="263"/>
      <c r="I333" s="263"/>
      <c r="J333" s="97">
        <f t="shared" si="7"/>
        <v>2.1</v>
      </c>
    </row>
    <row r="334" spans="1:10" ht="14.25">
      <c r="A334" s="43"/>
      <c r="B334" s="49" t="s">
        <v>282</v>
      </c>
      <c r="C334" s="44"/>
      <c r="D334" s="263">
        <v>1</v>
      </c>
      <c r="E334" s="263">
        <v>1.14</v>
      </c>
      <c r="F334" s="263"/>
      <c r="G334" s="263"/>
      <c r="H334" s="263"/>
      <c r="I334" s="263"/>
      <c r="J334" s="97">
        <f t="shared" si="7"/>
        <v>1.14</v>
      </c>
    </row>
    <row r="335" spans="1:10" ht="14.25">
      <c r="A335" s="43"/>
      <c r="B335" s="49" t="s">
        <v>283</v>
      </c>
      <c r="C335" s="44"/>
      <c r="D335" s="263">
        <v>4</v>
      </c>
      <c r="E335" s="263">
        <v>1.2</v>
      </c>
      <c r="F335" s="263"/>
      <c r="G335" s="263"/>
      <c r="H335" s="263"/>
      <c r="I335" s="263"/>
      <c r="J335" s="97">
        <f t="shared" si="7"/>
        <v>4.8</v>
      </c>
    </row>
    <row r="336" spans="1:10" ht="14.25">
      <c r="A336" s="43"/>
      <c r="B336" s="52"/>
      <c r="C336" s="50"/>
      <c r="D336" s="255"/>
      <c r="E336" s="255"/>
      <c r="F336" s="255"/>
      <c r="G336" s="255"/>
      <c r="H336" s="255"/>
      <c r="I336" s="256"/>
      <c r="J336" s="99"/>
    </row>
    <row r="337" spans="1:10" ht="14.25">
      <c r="A337" s="53"/>
      <c r="B337" s="47"/>
      <c r="C337" s="54"/>
      <c r="D337" s="261"/>
      <c r="E337" s="261"/>
      <c r="F337" s="261"/>
      <c r="G337" s="261"/>
      <c r="H337" s="261"/>
      <c r="I337" s="262"/>
      <c r="J337" s="100"/>
    </row>
    <row r="338" spans="1:10" ht="15">
      <c r="A338" s="42" t="s">
        <v>58</v>
      </c>
      <c r="B338" s="62" t="s">
        <v>76</v>
      </c>
      <c r="C338" s="63"/>
      <c r="D338" s="266"/>
      <c r="E338" s="266"/>
      <c r="F338" s="266"/>
      <c r="G338" s="266"/>
      <c r="H338" s="266"/>
      <c r="I338" s="266"/>
      <c r="J338" s="103"/>
    </row>
    <row r="339" spans="1:10" ht="28.5">
      <c r="A339" s="56" t="s">
        <v>16</v>
      </c>
      <c r="B339" s="34" t="s">
        <v>290</v>
      </c>
      <c r="C339" s="35" t="s">
        <v>216</v>
      </c>
      <c r="D339" s="260" t="s">
        <v>208</v>
      </c>
      <c r="E339" s="260" t="s">
        <v>209</v>
      </c>
      <c r="F339" s="260" t="s">
        <v>210</v>
      </c>
      <c r="G339" s="260" t="s">
        <v>211</v>
      </c>
      <c r="H339" s="260" t="s">
        <v>212</v>
      </c>
      <c r="I339" s="260" t="s">
        <v>213</v>
      </c>
      <c r="J339" s="85">
        <f>SUM(J340:J354)</f>
        <v>41.22</v>
      </c>
    </row>
    <row r="340" spans="1:10" ht="14.25">
      <c r="A340" s="57"/>
      <c r="B340" s="49" t="s">
        <v>271</v>
      </c>
      <c r="C340" s="44"/>
      <c r="D340" s="263">
        <v>6</v>
      </c>
      <c r="E340" s="263">
        <v>2</v>
      </c>
      <c r="F340" s="265">
        <v>0.8</v>
      </c>
      <c r="G340" s="265"/>
      <c r="H340" s="265"/>
      <c r="I340" s="265"/>
      <c r="J340" s="102">
        <f>F340*E340*D340</f>
        <v>9.6</v>
      </c>
    </row>
    <row r="341" spans="1:10" ht="14.25">
      <c r="A341" s="43"/>
      <c r="B341" s="49" t="s">
        <v>272</v>
      </c>
      <c r="C341" s="44"/>
      <c r="D341" s="263">
        <v>3</v>
      </c>
      <c r="E341" s="263">
        <v>1.5</v>
      </c>
      <c r="F341" s="263">
        <v>0.9</v>
      </c>
      <c r="G341" s="263"/>
      <c r="H341" s="263"/>
      <c r="I341" s="263"/>
      <c r="J341" s="99">
        <f aca="true" t="shared" si="8" ref="J341:J353">F341*E341*D341</f>
        <v>4.05</v>
      </c>
    </row>
    <row r="342" spans="1:10" ht="14.25">
      <c r="A342" s="43"/>
      <c r="B342" s="49" t="s">
        <v>273</v>
      </c>
      <c r="C342" s="44"/>
      <c r="D342" s="263">
        <v>4</v>
      </c>
      <c r="E342" s="263">
        <v>1</v>
      </c>
      <c r="F342" s="263">
        <v>0.8</v>
      </c>
      <c r="G342" s="263"/>
      <c r="H342" s="263"/>
      <c r="I342" s="263"/>
      <c r="J342" s="99">
        <f t="shared" si="8"/>
        <v>3.2</v>
      </c>
    </row>
    <row r="343" spans="1:10" ht="14.25">
      <c r="A343" s="43"/>
      <c r="B343" s="49" t="s">
        <v>274</v>
      </c>
      <c r="C343" s="44"/>
      <c r="D343" s="263">
        <v>3</v>
      </c>
      <c r="E343" s="263">
        <v>1</v>
      </c>
      <c r="F343" s="263">
        <v>0.8</v>
      </c>
      <c r="G343" s="263"/>
      <c r="H343" s="263"/>
      <c r="I343" s="263"/>
      <c r="J343" s="99">
        <f t="shared" si="8"/>
        <v>2.4</v>
      </c>
    </row>
    <row r="344" spans="1:10" ht="14.25">
      <c r="A344" s="43"/>
      <c r="B344" s="49" t="s">
        <v>275</v>
      </c>
      <c r="C344" s="44"/>
      <c r="D344" s="263">
        <v>2</v>
      </c>
      <c r="E344" s="263">
        <v>0.6</v>
      </c>
      <c r="F344" s="263">
        <v>0.6</v>
      </c>
      <c r="G344" s="263"/>
      <c r="H344" s="263"/>
      <c r="I344" s="263"/>
      <c r="J344" s="99">
        <f t="shared" si="8"/>
        <v>0.72</v>
      </c>
    </row>
    <row r="345" spans="1:10" ht="14.25">
      <c r="A345" s="43"/>
      <c r="B345" s="49" t="s">
        <v>276</v>
      </c>
      <c r="C345" s="44"/>
      <c r="D345" s="263">
        <v>1</v>
      </c>
      <c r="E345" s="263">
        <v>1</v>
      </c>
      <c r="F345" s="263">
        <v>0.8</v>
      </c>
      <c r="G345" s="263"/>
      <c r="H345" s="263"/>
      <c r="I345" s="263"/>
      <c r="J345" s="99">
        <f t="shared" si="8"/>
        <v>0.8</v>
      </c>
    </row>
    <row r="346" spans="1:10" ht="14.25">
      <c r="A346" s="43"/>
      <c r="B346" s="49" t="s">
        <v>277</v>
      </c>
      <c r="C346" s="44"/>
      <c r="D346" s="263">
        <v>1</v>
      </c>
      <c r="E346" s="263">
        <v>2</v>
      </c>
      <c r="F346" s="263">
        <v>1.2</v>
      </c>
      <c r="G346" s="263"/>
      <c r="H346" s="263"/>
      <c r="I346" s="263"/>
      <c r="J346" s="99">
        <f t="shared" si="8"/>
        <v>2.4</v>
      </c>
    </row>
    <row r="347" spans="1:10" ht="14.25">
      <c r="A347" s="43"/>
      <c r="B347" s="49" t="s">
        <v>526</v>
      </c>
      <c r="C347" s="44"/>
      <c r="D347" s="263">
        <v>2</v>
      </c>
      <c r="E347" s="263">
        <v>0.8</v>
      </c>
      <c r="F347" s="263">
        <v>0.6</v>
      </c>
      <c r="G347" s="263"/>
      <c r="H347" s="263"/>
      <c r="I347" s="263"/>
      <c r="J347" s="99">
        <f t="shared" si="8"/>
        <v>0.96</v>
      </c>
    </row>
    <row r="348" spans="1:10" ht="14.25">
      <c r="A348" s="43"/>
      <c r="B348" s="49" t="s">
        <v>278</v>
      </c>
      <c r="C348" s="44"/>
      <c r="D348" s="263">
        <v>2</v>
      </c>
      <c r="E348" s="263">
        <v>0.8</v>
      </c>
      <c r="F348" s="263">
        <v>0.6</v>
      </c>
      <c r="G348" s="263"/>
      <c r="H348" s="263"/>
      <c r="I348" s="263"/>
      <c r="J348" s="99">
        <f t="shared" si="8"/>
        <v>0.96</v>
      </c>
    </row>
    <row r="349" spans="1:10" ht="14.25">
      <c r="A349" s="43"/>
      <c r="B349" s="49" t="s">
        <v>279</v>
      </c>
      <c r="C349" s="44"/>
      <c r="D349" s="263">
        <v>2</v>
      </c>
      <c r="E349" s="263">
        <v>1.2</v>
      </c>
      <c r="F349" s="263">
        <v>1.2</v>
      </c>
      <c r="G349" s="263"/>
      <c r="H349" s="263"/>
      <c r="I349" s="263"/>
      <c r="J349" s="99">
        <f t="shared" si="8"/>
        <v>2.88</v>
      </c>
    </row>
    <row r="350" spans="1:10" ht="14.25">
      <c r="A350" s="43"/>
      <c r="B350" s="49" t="s">
        <v>280</v>
      </c>
      <c r="C350" s="44"/>
      <c r="D350" s="263">
        <v>2</v>
      </c>
      <c r="E350" s="263">
        <v>1.5</v>
      </c>
      <c r="F350" s="263">
        <v>1.2</v>
      </c>
      <c r="G350" s="263"/>
      <c r="H350" s="263"/>
      <c r="I350" s="263"/>
      <c r="J350" s="99">
        <f t="shared" si="8"/>
        <v>3.6</v>
      </c>
    </row>
    <row r="351" spans="1:10" ht="14.25">
      <c r="A351" s="43"/>
      <c r="B351" s="49" t="s">
        <v>281</v>
      </c>
      <c r="C351" s="44"/>
      <c r="D351" s="263">
        <v>2</v>
      </c>
      <c r="E351" s="263">
        <v>1.05</v>
      </c>
      <c r="F351" s="263">
        <v>1.2</v>
      </c>
      <c r="G351" s="263"/>
      <c r="H351" s="263"/>
      <c r="I351" s="263"/>
      <c r="J351" s="99">
        <f t="shared" si="8"/>
        <v>2.52</v>
      </c>
    </row>
    <row r="352" spans="1:10" ht="14.25">
      <c r="A352" s="43"/>
      <c r="B352" s="49" t="s">
        <v>282</v>
      </c>
      <c r="C352" s="44"/>
      <c r="D352" s="263">
        <v>1</v>
      </c>
      <c r="E352" s="263">
        <v>1.14</v>
      </c>
      <c r="F352" s="263">
        <v>1.2</v>
      </c>
      <c r="G352" s="263"/>
      <c r="H352" s="263"/>
      <c r="I352" s="263"/>
      <c r="J352" s="99">
        <f t="shared" si="8"/>
        <v>1.37</v>
      </c>
    </row>
    <row r="353" spans="1:10" ht="14.25">
      <c r="A353" s="43"/>
      <c r="B353" s="49" t="s">
        <v>283</v>
      </c>
      <c r="C353" s="44"/>
      <c r="D353" s="263">
        <v>4</v>
      </c>
      <c r="E353" s="263">
        <v>1.2</v>
      </c>
      <c r="F353" s="263">
        <v>1.2</v>
      </c>
      <c r="G353" s="263"/>
      <c r="H353" s="263"/>
      <c r="I353" s="263"/>
      <c r="J353" s="99">
        <f t="shared" si="8"/>
        <v>5.76</v>
      </c>
    </row>
    <row r="354" spans="1:10" ht="14.25">
      <c r="A354" s="479"/>
      <c r="B354" s="52"/>
      <c r="C354" s="50"/>
      <c r="D354" s="255"/>
      <c r="E354" s="255"/>
      <c r="F354" s="255"/>
      <c r="G354" s="255"/>
      <c r="H354" s="255"/>
      <c r="I354" s="256"/>
      <c r="J354" s="107"/>
    </row>
    <row r="355" spans="1:10" ht="14.25">
      <c r="A355" s="480"/>
      <c r="B355" s="47"/>
      <c r="C355" s="47"/>
      <c r="D355" s="259"/>
      <c r="E355" s="259"/>
      <c r="F355" s="259"/>
      <c r="G355" s="259"/>
      <c r="H355" s="259"/>
      <c r="I355" s="259"/>
      <c r="J355" s="98"/>
    </row>
    <row r="356" spans="1:10" ht="15">
      <c r="A356" s="42" t="s">
        <v>59</v>
      </c>
      <c r="B356" s="62" t="s">
        <v>108</v>
      </c>
      <c r="C356" s="63"/>
      <c r="D356" s="266"/>
      <c r="E356" s="266"/>
      <c r="F356" s="266"/>
      <c r="G356" s="266"/>
      <c r="H356" s="266"/>
      <c r="I356" s="266"/>
      <c r="J356" s="103"/>
    </row>
    <row r="357" spans="1:10" ht="28.5">
      <c r="A357" s="56" t="s">
        <v>18</v>
      </c>
      <c r="B357" s="439" t="s">
        <v>691</v>
      </c>
      <c r="C357" s="78" t="s">
        <v>216</v>
      </c>
      <c r="D357" s="260" t="s">
        <v>208</v>
      </c>
      <c r="E357" s="260" t="s">
        <v>209</v>
      </c>
      <c r="F357" s="260" t="s">
        <v>210</v>
      </c>
      <c r="G357" s="260" t="s">
        <v>211</v>
      </c>
      <c r="H357" s="260" t="s">
        <v>212</v>
      </c>
      <c r="I357" s="260" t="s">
        <v>213</v>
      </c>
      <c r="J357" s="85">
        <f>SUM(J358:J365)</f>
        <v>23.1</v>
      </c>
    </row>
    <row r="358" spans="1:10" ht="14.25">
      <c r="A358" s="80"/>
      <c r="B358" s="49" t="s">
        <v>285</v>
      </c>
      <c r="C358" s="44"/>
      <c r="D358" s="264">
        <v>2</v>
      </c>
      <c r="E358" s="264">
        <v>0.8</v>
      </c>
      <c r="F358" s="264"/>
      <c r="G358" s="264">
        <v>2.1</v>
      </c>
      <c r="H358" s="264"/>
      <c r="I358" s="263"/>
      <c r="J358" s="97">
        <f>G358*E358*D358</f>
        <v>3.36</v>
      </c>
    </row>
    <row r="359" spans="1:10" ht="14.25">
      <c r="A359" s="80"/>
      <c r="B359" s="49" t="s">
        <v>286</v>
      </c>
      <c r="C359" s="44"/>
      <c r="D359" s="264">
        <v>1</v>
      </c>
      <c r="E359" s="264">
        <v>0.8</v>
      </c>
      <c r="F359" s="264"/>
      <c r="G359" s="264">
        <v>2.1</v>
      </c>
      <c r="H359" s="264"/>
      <c r="I359" s="263"/>
      <c r="J359" s="97">
        <f>G359*E359*D359</f>
        <v>1.68</v>
      </c>
    </row>
    <row r="360" spans="1:10" ht="14.25">
      <c r="A360" s="80"/>
      <c r="B360" s="49" t="s">
        <v>287</v>
      </c>
      <c r="C360" s="44"/>
      <c r="D360" s="264">
        <v>2</v>
      </c>
      <c r="E360" s="264">
        <v>0.8</v>
      </c>
      <c r="F360" s="264"/>
      <c r="G360" s="264">
        <v>2.1</v>
      </c>
      <c r="H360" s="264"/>
      <c r="I360" s="263"/>
      <c r="J360" s="97">
        <f aca="true" t="shared" si="9" ref="J360:J365">G360*E360*D360</f>
        <v>3.36</v>
      </c>
    </row>
    <row r="361" spans="1:10" ht="14.25">
      <c r="A361" s="80"/>
      <c r="B361" s="49" t="s">
        <v>264</v>
      </c>
      <c r="C361" s="44"/>
      <c r="D361" s="264">
        <v>1</v>
      </c>
      <c r="E361" s="264">
        <v>1</v>
      </c>
      <c r="F361" s="264"/>
      <c r="G361" s="264">
        <v>2.1</v>
      </c>
      <c r="H361" s="264"/>
      <c r="I361" s="263"/>
      <c r="J361" s="97">
        <f t="shared" si="9"/>
        <v>2.1</v>
      </c>
    </row>
    <row r="362" spans="1:10" ht="14.25">
      <c r="A362" s="80"/>
      <c r="B362" s="49" t="s">
        <v>289</v>
      </c>
      <c r="C362" s="44"/>
      <c r="D362" s="264">
        <v>2</v>
      </c>
      <c r="E362" s="264">
        <v>0.8</v>
      </c>
      <c r="F362" s="264"/>
      <c r="G362" s="264">
        <v>2.1</v>
      </c>
      <c r="H362" s="264"/>
      <c r="I362" s="263"/>
      <c r="J362" s="97">
        <f t="shared" si="9"/>
        <v>3.36</v>
      </c>
    </row>
    <row r="363" spans="1:10" ht="14.25">
      <c r="A363" s="80"/>
      <c r="B363" s="49" t="s">
        <v>265</v>
      </c>
      <c r="C363" s="44"/>
      <c r="D363" s="264">
        <v>2</v>
      </c>
      <c r="E363" s="264">
        <v>0.8</v>
      </c>
      <c r="F363" s="264"/>
      <c r="G363" s="264">
        <v>2.1</v>
      </c>
      <c r="H363" s="264"/>
      <c r="I363" s="263"/>
      <c r="J363" s="97">
        <f t="shared" si="9"/>
        <v>3.36</v>
      </c>
    </row>
    <row r="364" spans="1:10" ht="14.25">
      <c r="A364" s="80"/>
      <c r="B364" s="49" t="s">
        <v>266</v>
      </c>
      <c r="C364" s="44"/>
      <c r="D364" s="264">
        <v>2</v>
      </c>
      <c r="E364" s="264">
        <v>0.8</v>
      </c>
      <c r="F364" s="264"/>
      <c r="G364" s="264">
        <v>2.1</v>
      </c>
      <c r="H364" s="264"/>
      <c r="I364" s="263"/>
      <c r="J364" s="97">
        <f t="shared" si="9"/>
        <v>3.36</v>
      </c>
    </row>
    <row r="365" spans="1:10" ht="14.25">
      <c r="A365" s="80"/>
      <c r="B365" s="49" t="s">
        <v>267</v>
      </c>
      <c r="C365" s="44"/>
      <c r="D365" s="264">
        <v>2</v>
      </c>
      <c r="E365" s="264">
        <v>0.6</v>
      </c>
      <c r="F365" s="264"/>
      <c r="G365" s="264">
        <v>2.1</v>
      </c>
      <c r="H365" s="264"/>
      <c r="I365" s="263"/>
      <c r="J365" s="97">
        <f t="shared" si="9"/>
        <v>2.52</v>
      </c>
    </row>
    <row r="366" spans="1:10" ht="14.25">
      <c r="A366" s="80"/>
      <c r="B366" s="52"/>
      <c r="C366" s="50"/>
      <c r="D366" s="255"/>
      <c r="E366" s="255"/>
      <c r="F366" s="255"/>
      <c r="G366" s="255"/>
      <c r="H366" s="255"/>
      <c r="I366" s="256"/>
      <c r="J366" s="99"/>
    </row>
    <row r="367" spans="1:10" ht="14.25">
      <c r="A367" s="53"/>
      <c r="B367" s="47"/>
      <c r="C367" s="54"/>
      <c r="D367" s="261"/>
      <c r="E367" s="261"/>
      <c r="F367" s="261"/>
      <c r="G367" s="261"/>
      <c r="H367" s="261"/>
      <c r="I367" s="262"/>
      <c r="J367" s="100"/>
    </row>
    <row r="368" spans="1:10" ht="28.5">
      <c r="A368" s="56" t="s">
        <v>19</v>
      </c>
      <c r="B368" s="440" t="s">
        <v>692</v>
      </c>
      <c r="C368" s="35" t="s">
        <v>216</v>
      </c>
      <c r="D368" s="260" t="s">
        <v>208</v>
      </c>
      <c r="E368" s="260" t="s">
        <v>209</v>
      </c>
      <c r="F368" s="260" t="s">
        <v>210</v>
      </c>
      <c r="G368" s="260" t="s">
        <v>211</v>
      </c>
      <c r="H368" s="260" t="s">
        <v>212</v>
      </c>
      <c r="I368" s="260" t="s">
        <v>213</v>
      </c>
      <c r="J368" s="85">
        <f>J369</f>
        <v>1.32</v>
      </c>
    </row>
    <row r="369" spans="1:10" ht="14.25">
      <c r="A369" s="57"/>
      <c r="B369" s="49" t="s">
        <v>264</v>
      </c>
      <c r="C369" s="58"/>
      <c r="D369" s="265">
        <v>2</v>
      </c>
      <c r="E369" s="265">
        <v>0.6</v>
      </c>
      <c r="F369" s="265"/>
      <c r="G369" s="265">
        <v>1.1</v>
      </c>
      <c r="H369" s="265"/>
      <c r="I369" s="265"/>
      <c r="J369" s="102">
        <f>G369*E369*D369</f>
        <v>1.32</v>
      </c>
    </row>
    <row r="370" spans="1:10" ht="14.25">
      <c r="A370" s="43"/>
      <c r="B370" s="52"/>
      <c r="C370" s="50"/>
      <c r="D370" s="255"/>
      <c r="E370" s="255"/>
      <c r="F370" s="255"/>
      <c r="G370" s="255"/>
      <c r="H370" s="255"/>
      <c r="I370" s="256"/>
      <c r="J370" s="99"/>
    </row>
    <row r="371" spans="1:10" ht="14.25">
      <c r="A371" s="53"/>
      <c r="B371" s="47"/>
      <c r="C371" s="54"/>
      <c r="D371" s="261"/>
      <c r="E371" s="261"/>
      <c r="F371" s="261"/>
      <c r="G371" s="261"/>
      <c r="H371" s="261"/>
      <c r="I371" s="262"/>
      <c r="J371" s="100"/>
    </row>
    <row r="372" spans="1:10" ht="15">
      <c r="A372" s="48" t="s">
        <v>61</v>
      </c>
      <c r="B372" s="62" t="s">
        <v>111</v>
      </c>
      <c r="C372" s="63"/>
      <c r="D372" s="266"/>
      <c r="E372" s="266"/>
      <c r="F372" s="266"/>
      <c r="G372" s="266"/>
      <c r="H372" s="266"/>
      <c r="I372" s="266"/>
      <c r="J372" s="103"/>
    </row>
    <row r="373" spans="1:10" ht="79.5" customHeight="1">
      <c r="A373" s="33" t="s">
        <v>62</v>
      </c>
      <c r="B373" s="34" t="s">
        <v>292</v>
      </c>
      <c r="C373" s="95" t="s">
        <v>216</v>
      </c>
      <c r="D373" s="274" t="s">
        <v>208</v>
      </c>
      <c r="E373" s="274" t="s">
        <v>209</v>
      </c>
      <c r="F373" s="274" t="s">
        <v>210</v>
      </c>
      <c r="G373" s="274" t="s">
        <v>211</v>
      </c>
      <c r="H373" s="274" t="s">
        <v>212</v>
      </c>
      <c r="I373" s="274" t="s">
        <v>213</v>
      </c>
      <c r="J373" s="108">
        <f>SUM(J375:J380)-J381</f>
        <v>254.83</v>
      </c>
    </row>
    <row r="374" spans="1:10" ht="14.25">
      <c r="A374" s="57"/>
      <c r="B374" s="49" t="s">
        <v>541</v>
      </c>
      <c r="C374" s="58"/>
      <c r="D374" s="265"/>
      <c r="E374" s="265"/>
      <c r="F374" s="265"/>
      <c r="G374" s="265"/>
      <c r="H374" s="265"/>
      <c r="I374" s="265"/>
      <c r="J374" s="102"/>
    </row>
    <row r="375" spans="1:10" ht="14.25">
      <c r="A375" s="43"/>
      <c r="B375" s="64"/>
      <c r="C375" s="44"/>
      <c r="D375" s="263"/>
      <c r="E375" s="263">
        <v>3.73</v>
      </c>
      <c r="F375" s="263">
        <v>15.93</v>
      </c>
      <c r="G375" s="263"/>
      <c r="H375" s="263"/>
      <c r="I375" s="263"/>
      <c r="J375" s="97">
        <f aca="true" t="shared" si="10" ref="J375:J380">F375*E375</f>
        <v>59.42</v>
      </c>
    </row>
    <row r="376" spans="1:10" ht="14.25">
      <c r="A376" s="43"/>
      <c r="B376" s="49"/>
      <c r="C376" s="44"/>
      <c r="D376" s="263"/>
      <c r="E376" s="263">
        <f>3.97+1.25</f>
        <v>5.22</v>
      </c>
      <c r="F376" s="263">
        <v>11.07</v>
      </c>
      <c r="G376" s="263"/>
      <c r="H376" s="263"/>
      <c r="I376" s="263"/>
      <c r="J376" s="97">
        <f t="shared" si="10"/>
        <v>57.79</v>
      </c>
    </row>
    <row r="377" spans="1:10" ht="14.25">
      <c r="A377" s="43"/>
      <c r="B377" s="49"/>
      <c r="C377" s="44"/>
      <c r="D377" s="263"/>
      <c r="E377" s="263">
        <v>4.5</v>
      </c>
      <c r="F377" s="263">
        <v>9.52</v>
      </c>
      <c r="G377" s="263"/>
      <c r="H377" s="263"/>
      <c r="I377" s="263"/>
      <c r="J377" s="97">
        <f t="shared" si="10"/>
        <v>42.84</v>
      </c>
    </row>
    <row r="378" spans="1:10" ht="14.25">
      <c r="A378" s="43"/>
      <c r="B378" s="49"/>
      <c r="C378" s="44"/>
      <c r="D378" s="263"/>
      <c r="E378" s="263">
        <v>11.94</v>
      </c>
      <c r="F378" s="263">
        <v>15.93</v>
      </c>
      <c r="G378" s="263"/>
      <c r="H378" s="263"/>
      <c r="I378" s="263"/>
      <c r="J378" s="97">
        <f t="shared" si="10"/>
        <v>190.2</v>
      </c>
    </row>
    <row r="379" spans="1:10" ht="14.25">
      <c r="A379" s="43"/>
      <c r="B379" s="49"/>
      <c r="C379" s="44"/>
      <c r="D379" s="263"/>
      <c r="E379" s="263">
        <v>4.12</v>
      </c>
      <c r="F379" s="263">
        <v>3.21</v>
      </c>
      <c r="G379" s="263"/>
      <c r="H379" s="263"/>
      <c r="I379" s="263"/>
      <c r="J379" s="97">
        <f t="shared" si="10"/>
        <v>13.23</v>
      </c>
    </row>
    <row r="380" spans="1:10" ht="14.25">
      <c r="A380" s="43"/>
      <c r="B380" s="49"/>
      <c r="C380" s="44"/>
      <c r="D380" s="263"/>
      <c r="E380" s="263">
        <v>5.75</v>
      </c>
      <c r="F380" s="263">
        <v>4.86</v>
      </c>
      <c r="G380" s="263"/>
      <c r="H380" s="263"/>
      <c r="I380" s="263"/>
      <c r="J380" s="97">
        <f t="shared" si="10"/>
        <v>27.95</v>
      </c>
    </row>
    <row r="381" spans="1:10" ht="14.25">
      <c r="A381" s="43"/>
      <c r="B381" s="251" t="s">
        <v>598</v>
      </c>
      <c r="C381" s="44"/>
      <c r="D381" s="263"/>
      <c r="E381" s="263"/>
      <c r="F381" s="263"/>
      <c r="G381" s="263"/>
      <c r="H381" s="263"/>
      <c r="I381" s="263"/>
      <c r="J381" s="97">
        <f>J48</f>
        <v>136.6</v>
      </c>
    </row>
    <row r="382" spans="1:10" ht="14.25">
      <c r="A382" s="43"/>
      <c r="B382" s="52"/>
      <c r="C382" s="50"/>
      <c r="D382" s="255"/>
      <c r="E382" s="255"/>
      <c r="F382" s="255"/>
      <c r="G382" s="255"/>
      <c r="H382" s="255"/>
      <c r="I382" s="256"/>
      <c r="J382" s="99"/>
    </row>
    <row r="383" spans="1:10" ht="14.25">
      <c r="A383" s="53"/>
      <c r="B383" s="47"/>
      <c r="C383" s="54"/>
      <c r="D383" s="261"/>
      <c r="E383" s="261"/>
      <c r="F383" s="261"/>
      <c r="G383" s="261"/>
      <c r="H383" s="261"/>
      <c r="I383" s="262"/>
      <c r="J383" s="100"/>
    </row>
    <row r="384" spans="1:10" ht="42.75">
      <c r="A384" s="94" t="s">
        <v>63</v>
      </c>
      <c r="B384" s="34" t="s">
        <v>293</v>
      </c>
      <c r="C384" s="95" t="s">
        <v>216</v>
      </c>
      <c r="D384" s="274" t="s">
        <v>208</v>
      </c>
      <c r="E384" s="274" t="s">
        <v>209</v>
      </c>
      <c r="F384" s="274" t="s">
        <v>210</v>
      </c>
      <c r="G384" s="274" t="s">
        <v>211</v>
      </c>
      <c r="H384" s="274" t="s">
        <v>212</v>
      </c>
      <c r="I384" s="274" t="s">
        <v>213</v>
      </c>
      <c r="J384" s="108">
        <f>SUM(J386:J391)-J392</f>
        <v>254.83</v>
      </c>
    </row>
    <row r="385" spans="1:10" ht="14.25">
      <c r="A385" s="57"/>
      <c r="B385" s="49" t="s">
        <v>541</v>
      </c>
      <c r="C385" s="58"/>
      <c r="D385" s="265"/>
      <c r="E385" s="265"/>
      <c r="F385" s="265"/>
      <c r="G385" s="265"/>
      <c r="H385" s="265"/>
      <c r="I385" s="265"/>
      <c r="J385" s="102"/>
    </row>
    <row r="386" spans="1:10" ht="14.25">
      <c r="A386" s="43"/>
      <c r="B386" s="64"/>
      <c r="C386" s="44"/>
      <c r="D386" s="263"/>
      <c r="E386" s="263">
        <v>3.73</v>
      </c>
      <c r="F386" s="263">
        <v>15.93</v>
      </c>
      <c r="G386" s="263"/>
      <c r="H386" s="263"/>
      <c r="I386" s="263"/>
      <c r="J386" s="97">
        <f aca="true" t="shared" si="11" ref="J386:J391">F386*E386</f>
        <v>59.42</v>
      </c>
    </row>
    <row r="387" spans="1:10" ht="14.25">
      <c r="A387" s="43"/>
      <c r="B387" s="49"/>
      <c r="C387" s="44"/>
      <c r="D387" s="263"/>
      <c r="E387" s="263">
        <f>3.97+1.25</f>
        <v>5.22</v>
      </c>
      <c r="F387" s="263">
        <v>11.07</v>
      </c>
      <c r="G387" s="263"/>
      <c r="H387" s="263"/>
      <c r="I387" s="263"/>
      <c r="J387" s="97">
        <f t="shared" si="11"/>
        <v>57.79</v>
      </c>
    </row>
    <row r="388" spans="1:10" ht="14.25">
      <c r="A388" s="479"/>
      <c r="B388" s="49"/>
      <c r="C388" s="44"/>
      <c r="D388" s="263"/>
      <c r="E388" s="263">
        <v>4.5</v>
      </c>
      <c r="F388" s="263">
        <v>9.52</v>
      </c>
      <c r="G388" s="263"/>
      <c r="H388" s="263"/>
      <c r="I388" s="263"/>
      <c r="J388" s="97">
        <f t="shared" si="11"/>
        <v>42.84</v>
      </c>
    </row>
    <row r="389" spans="1:10" ht="14.25">
      <c r="A389" s="43"/>
      <c r="B389" s="49"/>
      <c r="C389" s="44"/>
      <c r="D389" s="263"/>
      <c r="E389" s="263">
        <v>11.94</v>
      </c>
      <c r="F389" s="263">
        <v>15.93</v>
      </c>
      <c r="G389" s="263"/>
      <c r="H389" s="263"/>
      <c r="I389" s="263"/>
      <c r="J389" s="97">
        <f t="shared" si="11"/>
        <v>190.2</v>
      </c>
    </row>
    <row r="390" spans="1:10" ht="14.25">
      <c r="A390" s="43"/>
      <c r="B390" s="49"/>
      <c r="C390" s="44"/>
      <c r="D390" s="263"/>
      <c r="E390" s="263">
        <v>4.12</v>
      </c>
      <c r="F390" s="263">
        <v>3.21</v>
      </c>
      <c r="G390" s="263"/>
      <c r="H390" s="263"/>
      <c r="I390" s="263"/>
      <c r="J390" s="97">
        <f t="shared" si="11"/>
        <v>13.23</v>
      </c>
    </row>
    <row r="391" spans="1:10" ht="14.25">
      <c r="A391" s="43"/>
      <c r="B391" s="49"/>
      <c r="C391" s="44"/>
      <c r="D391" s="263"/>
      <c r="E391" s="263">
        <v>5.75</v>
      </c>
      <c r="F391" s="263">
        <v>4.86</v>
      </c>
      <c r="G391" s="263"/>
      <c r="H391" s="263"/>
      <c r="I391" s="263"/>
      <c r="J391" s="97">
        <f t="shared" si="11"/>
        <v>27.95</v>
      </c>
    </row>
    <row r="392" spans="1:10" ht="14.25">
      <c r="A392" s="43"/>
      <c r="B392" s="251" t="s">
        <v>598</v>
      </c>
      <c r="C392" s="44"/>
      <c r="D392" s="263"/>
      <c r="E392" s="263"/>
      <c r="F392" s="263"/>
      <c r="G392" s="263"/>
      <c r="H392" s="263"/>
      <c r="I392" s="263"/>
      <c r="J392" s="97">
        <f>J48</f>
        <v>136.6</v>
      </c>
    </row>
    <row r="393" spans="1:10" ht="14.25">
      <c r="A393" s="43"/>
      <c r="B393" s="52"/>
      <c r="C393" s="50"/>
      <c r="D393" s="255"/>
      <c r="E393" s="255"/>
      <c r="F393" s="255"/>
      <c r="G393" s="255"/>
      <c r="H393" s="255"/>
      <c r="I393" s="256"/>
      <c r="J393" s="99"/>
    </row>
    <row r="394" spans="1:17" ht="14.25">
      <c r="A394" s="53"/>
      <c r="B394" s="47"/>
      <c r="C394" s="54"/>
      <c r="D394" s="261"/>
      <c r="E394" s="261"/>
      <c r="F394" s="261"/>
      <c r="G394" s="261"/>
      <c r="H394" s="261"/>
      <c r="I394" s="262"/>
      <c r="J394" s="100"/>
      <c r="M394" s="39"/>
      <c r="N394" s="39"/>
      <c r="O394" s="39"/>
      <c r="P394" s="39"/>
      <c r="Q394" s="39"/>
    </row>
    <row r="395" spans="1:10" ht="28.5">
      <c r="A395" s="56" t="s">
        <v>64</v>
      </c>
      <c r="B395" s="34" t="s">
        <v>294</v>
      </c>
      <c r="C395" s="35" t="s">
        <v>220</v>
      </c>
      <c r="D395" s="260" t="s">
        <v>208</v>
      </c>
      <c r="E395" s="260" t="s">
        <v>209</v>
      </c>
      <c r="F395" s="260" t="s">
        <v>210</v>
      </c>
      <c r="G395" s="260" t="s">
        <v>211</v>
      </c>
      <c r="H395" s="260" t="s">
        <v>212</v>
      </c>
      <c r="I395" s="260" t="s">
        <v>213</v>
      </c>
      <c r="J395" s="85">
        <f>SUM(J397:J403)</f>
        <v>79.07</v>
      </c>
    </row>
    <row r="396" spans="1:10" ht="14.25">
      <c r="A396" s="57"/>
      <c r="B396" s="49" t="s">
        <v>542</v>
      </c>
      <c r="C396" s="58"/>
      <c r="D396" s="265"/>
      <c r="E396" s="265"/>
      <c r="F396" s="265"/>
      <c r="G396" s="265"/>
      <c r="H396" s="265"/>
      <c r="I396" s="265"/>
      <c r="J396" s="102"/>
    </row>
    <row r="397" spans="1:10" ht="14.25">
      <c r="A397" s="43"/>
      <c r="B397" s="64"/>
      <c r="C397" s="44"/>
      <c r="D397" s="263"/>
      <c r="E397" s="263">
        <v>3.73</v>
      </c>
      <c r="F397" s="263"/>
      <c r="G397" s="263"/>
      <c r="H397" s="263"/>
      <c r="I397" s="263"/>
      <c r="J397" s="97">
        <f>E397</f>
        <v>3.73</v>
      </c>
    </row>
    <row r="398" spans="1:10" ht="14.25">
      <c r="A398" s="43"/>
      <c r="B398" s="64"/>
      <c r="C398" s="44"/>
      <c r="D398" s="263"/>
      <c r="E398" s="263">
        <v>15.93</v>
      </c>
      <c r="F398" s="263"/>
      <c r="G398" s="263"/>
      <c r="H398" s="263"/>
      <c r="I398" s="263"/>
      <c r="J398" s="97">
        <f aca="true" t="shared" si="12" ref="J398:J403">E398</f>
        <v>15.93</v>
      </c>
    </row>
    <row r="399" spans="1:10" ht="14.25">
      <c r="A399" s="43"/>
      <c r="B399" s="49"/>
      <c r="C399" s="44"/>
      <c r="D399" s="263"/>
      <c r="E399" s="263">
        <v>25.54</v>
      </c>
      <c r="F399" s="263"/>
      <c r="G399" s="263"/>
      <c r="H399" s="263"/>
      <c r="I399" s="263"/>
      <c r="J399" s="97">
        <f t="shared" si="12"/>
        <v>25.54</v>
      </c>
    </row>
    <row r="400" spans="1:10" ht="14.25">
      <c r="A400" s="43"/>
      <c r="B400" s="49"/>
      <c r="C400" s="44"/>
      <c r="D400" s="263"/>
      <c r="E400" s="263">
        <v>15.93</v>
      </c>
      <c r="F400" s="263"/>
      <c r="G400" s="263"/>
      <c r="H400" s="263"/>
      <c r="I400" s="263"/>
      <c r="J400" s="97">
        <f t="shared" si="12"/>
        <v>15.93</v>
      </c>
    </row>
    <row r="401" spans="1:10" ht="14.25">
      <c r="A401" s="43"/>
      <c r="B401" s="49"/>
      <c r="C401" s="44"/>
      <c r="D401" s="263"/>
      <c r="E401" s="263">
        <v>11.94</v>
      </c>
      <c r="F401" s="263"/>
      <c r="G401" s="263"/>
      <c r="H401" s="263"/>
      <c r="I401" s="263"/>
      <c r="J401" s="97">
        <f t="shared" si="12"/>
        <v>11.94</v>
      </c>
    </row>
    <row r="402" spans="1:10" ht="14.25">
      <c r="A402" s="43"/>
      <c r="B402" s="49"/>
      <c r="C402" s="44"/>
      <c r="D402" s="263"/>
      <c r="E402" s="263">
        <v>3</v>
      </c>
      <c r="F402" s="263"/>
      <c r="G402" s="263"/>
      <c r="H402" s="263"/>
      <c r="I402" s="263"/>
      <c r="J402" s="97">
        <f t="shared" si="12"/>
        <v>3</v>
      </c>
    </row>
    <row r="403" spans="1:10" ht="14.25">
      <c r="A403" s="43"/>
      <c r="B403" s="49"/>
      <c r="C403" s="44"/>
      <c r="D403" s="263"/>
      <c r="E403" s="263">
        <v>3</v>
      </c>
      <c r="F403" s="263"/>
      <c r="G403" s="263"/>
      <c r="H403" s="263"/>
      <c r="I403" s="263"/>
      <c r="J403" s="97">
        <f t="shared" si="12"/>
        <v>3</v>
      </c>
    </row>
    <row r="404" spans="1:10" ht="14.25">
      <c r="A404" s="43"/>
      <c r="B404" s="52"/>
      <c r="C404" s="50"/>
      <c r="D404" s="255"/>
      <c r="E404" s="255"/>
      <c r="F404" s="255"/>
      <c r="G404" s="255"/>
      <c r="H404" s="255"/>
      <c r="I404" s="256"/>
      <c r="J404" s="99"/>
    </row>
    <row r="405" spans="1:10" ht="14.25">
      <c r="A405" s="53"/>
      <c r="B405" s="47"/>
      <c r="C405" s="54"/>
      <c r="D405" s="261"/>
      <c r="E405" s="261"/>
      <c r="F405" s="261"/>
      <c r="G405" s="261"/>
      <c r="H405" s="261"/>
      <c r="I405" s="262"/>
      <c r="J405" s="100"/>
    </row>
    <row r="406" spans="1:10" ht="28.5">
      <c r="A406" s="56" t="s">
        <v>65</v>
      </c>
      <c r="B406" s="34" t="s">
        <v>295</v>
      </c>
      <c r="C406" s="35" t="s">
        <v>220</v>
      </c>
      <c r="D406" s="260" t="s">
        <v>208</v>
      </c>
      <c r="E406" s="260" t="s">
        <v>209</v>
      </c>
      <c r="F406" s="260" t="s">
        <v>210</v>
      </c>
      <c r="G406" s="260" t="s">
        <v>211</v>
      </c>
      <c r="H406" s="260" t="s">
        <v>212</v>
      </c>
      <c r="I406" s="260" t="s">
        <v>213</v>
      </c>
      <c r="J406" s="85">
        <f>SUM(J408:J413)</f>
        <v>43.51</v>
      </c>
    </row>
    <row r="407" spans="1:10" ht="14.25">
      <c r="A407" s="57"/>
      <c r="B407" s="49" t="s">
        <v>542</v>
      </c>
      <c r="C407" s="58"/>
      <c r="D407" s="265"/>
      <c r="E407" s="265"/>
      <c r="F407" s="265"/>
      <c r="G407" s="265"/>
      <c r="H407" s="265"/>
      <c r="I407" s="265"/>
      <c r="J407" s="102"/>
    </row>
    <row r="408" spans="1:10" ht="14.25">
      <c r="A408" s="43"/>
      <c r="B408" s="64"/>
      <c r="C408" s="44"/>
      <c r="D408" s="263"/>
      <c r="E408" s="263">
        <v>25.54</v>
      </c>
      <c r="F408" s="263"/>
      <c r="G408" s="263"/>
      <c r="H408" s="263"/>
      <c r="I408" s="263"/>
      <c r="J408" s="97">
        <f aca="true" t="shared" si="13" ref="J408:J413">E408</f>
        <v>25.54</v>
      </c>
    </row>
    <row r="409" spans="1:10" ht="14.25">
      <c r="A409" s="43"/>
      <c r="B409" s="49"/>
      <c r="C409" s="44"/>
      <c r="D409" s="263"/>
      <c r="E409" s="263">
        <v>1.82</v>
      </c>
      <c r="F409" s="263"/>
      <c r="G409" s="263"/>
      <c r="H409" s="263"/>
      <c r="I409" s="263"/>
      <c r="J409" s="97">
        <f t="shared" si="13"/>
        <v>1.82</v>
      </c>
    </row>
    <row r="410" spans="1:10" ht="14.25">
      <c r="A410" s="43"/>
      <c r="B410" s="49"/>
      <c r="C410" s="44"/>
      <c r="D410" s="263"/>
      <c r="E410" s="263">
        <v>2</v>
      </c>
      <c r="F410" s="263"/>
      <c r="G410" s="263"/>
      <c r="H410" s="263"/>
      <c r="I410" s="263"/>
      <c r="J410" s="97">
        <f t="shared" si="13"/>
        <v>2</v>
      </c>
    </row>
    <row r="411" spans="1:10" ht="14.25">
      <c r="A411" s="43"/>
      <c r="B411" s="49"/>
      <c r="C411" s="44"/>
      <c r="D411" s="263"/>
      <c r="E411" s="263">
        <v>5.45</v>
      </c>
      <c r="F411" s="263"/>
      <c r="G411" s="263"/>
      <c r="H411" s="263"/>
      <c r="I411" s="263"/>
      <c r="J411" s="97">
        <f t="shared" si="13"/>
        <v>5.45</v>
      </c>
    </row>
    <row r="412" spans="1:10" ht="14.25">
      <c r="A412" s="43"/>
      <c r="B412" s="49"/>
      <c r="C412" s="44"/>
      <c r="D412" s="263"/>
      <c r="E412" s="263">
        <v>5.45</v>
      </c>
      <c r="F412" s="263"/>
      <c r="G412" s="263"/>
      <c r="H412" s="263"/>
      <c r="I412" s="263"/>
      <c r="J412" s="97">
        <f t="shared" si="13"/>
        <v>5.45</v>
      </c>
    </row>
    <row r="413" spans="1:10" ht="14.25">
      <c r="A413" s="43"/>
      <c r="B413" s="49"/>
      <c r="C413" s="44"/>
      <c r="D413" s="263"/>
      <c r="E413" s="263">
        <v>3.25</v>
      </c>
      <c r="F413" s="263"/>
      <c r="G413" s="263"/>
      <c r="H413" s="263"/>
      <c r="I413" s="263"/>
      <c r="J413" s="97">
        <f t="shared" si="13"/>
        <v>3.25</v>
      </c>
    </row>
    <row r="414" spans="1:10" ht="14.25">
      <c r="A414" s="43"/>
      <c r="B414" s="49"/>
      <c r="C414" s="50"/>
      <c r="D414" s="255"/>
      <c r="E414" s="255"/>
      <c r="F414" s="255"/>
      <c r="G414" s="255"/>
      <c r="H414" s="255"/>
      <c r="I414" s="256"/>
      <c r="J414" s="99"/>
    </row>
    <row r="415" spans="1:10" ht="14.25">
      <c r="A415" s="53"/>
      <c r="B415" s="47"/>
      <c r="C415" s="54"/>
      <c r="D415" s="261"/>
      <c r="E415" s="261"/>
      <c r="F415" s="261"/>
      <c r="G415" s="261"/>
      <c r="H415" s="261"/>
      <c r="I415" s="262"/>
      <c r="J415" s="100"/>
    </row>
    <row r="416" spans="1:10" ht="28.5">
      <c r="A416" s="56" t="s">
        <v>116</v>
      </c>
      <c r="B416" s="34" t="s">
        <v>296</v>
      </c>
      <c r="C416" s="35" t="s">
        <v>220</v>
      </c>
      <c r="D416" s="260" t="s">
        <v>208</v>
      </c>
      <c r="E416" s="260" t="s">
        <v>209</v>
      </c>
      <c r="F416" s="260" t="s">
        <v>210</v>
      </c>
      <c r="G416" s="260" t="s">
        <v>211</v>
      </c>
      <c r="H416" s="260" t="s">
        <v>212</v>
      </c>
      <c r="I416" s="260" t="s">
        <v>213</v>
      </c>
      <c r="J416" s="85">
        <f>SUM(J418:J422)</f>
        <v>60.85</v>
      </c>
    </row>
    <row r="417" spans="1:10" ht="14.25">
      <c r="A417" s="57"/>
      <c r="B417" s="49" t="s">
        <v>544</v>
      </c>
      <c r="C417" s="58"/>
      <c r="D417" s="265"/>
      <c r="E417" s="265"/>
      <c r="F417" s="265"/>
      <c r="G417" s="265"/>
      <c r="H417" s="265"/>
      <c r="I417" s="265"/>
      <c r="J417" s="102"/>
    </row>
    <row r="418" spans="1:10" ht="14.25">
      <c r="A418" s="43"/>
      <c r="B418" s="84" t="s">
        <v>543</v>
      </c>
      <c r="C418" s="65"/>
      <c r="D418" s="263"/>
      <c r="E418" s="263"/>
      <c r="F418" s="255"/>
      <c r="G418" s="263"/>
      <c r="H418" s="263"/>
      <c r="I418" s="263"/>
      <c r="J418" s="97"/>
    </row>
    <row r="419" spans="1:10" ht="14.25">
      <c r="A419" s="43"/>
      <c r="B419" s="84" t="s">
        <v>521</v>
      </c>
      <c r="C419" s="65"/>
      <c r="D419" s="263">
        <v>1</v>
      </c>
      <c r="E419" s="263">
        <v>3.45</v>
      </c>
      <c r="F419" s="255"/>
      <c r="G419" s="263"/>
      <c r="H419" s="263"/>
      <c r="I419" s="263"/>
      <c r="J419" s="97">
        <f>E419*D419</f>
        <v>3.45</v>
      </c>
    </row>
    <row r="420" spans="1:10" ht="14.25">
      <c r="A420" s="43"/>
      <c r="B420" s="84" t="s">
        <v>291</v>
      </c>
      <c r="C420" s="65"/>
      <c r="D420" s="263">
        <v>1</v>
      </c>
      <c r="E420" s="263">
        <v>25.54</v>
      </c>
      <c r="F420" s="255"/>
      <c r="G420" s="263"/>
      <c r="H420" s="263"/>
      <c r="I420" s="263"/>
      <c r="J420" s="97">
        <f>D420*E420</f>
        <v>25.54</v>
      </c>
    </row>
    <row r="421" spans="1:10" ht="14.25">
      <c r="A421" s="43"/>
      <c r="B421" s="84" t="s">
        <v>522</v>
      </c>
      <c r="C421" s="65"/>
      <c r="D421" s="263">
        <v>1</v>
      </c>
      <c r="E421" s="263">
        <v>12.1</v>
      </c>
      <c r="F421" s="255"/>
      <c r="G421" s="263"/>
      <c r="H421" s="263"/>
      <c r="I421" s="263"/>
      <c r="J421" s="97">
        <f>F421*D421</f>
        <v>0</v>
      </c>
    </row>
    <row r="422" spans="1:10" ht="14.25">
      <c r="A422" s="43"/>
      <c r="B422" s="84" t="s">
        <v>523</v>
      </c>
      <c r="C422" s="65"/>
      <c r="D422" s="263">
        <v>2</v>
      </c>
      <c r="E422" s="263">
        <v>15.93</v>
      </c>
      <c r="F422" s="255"/>
      <c r="G422" s="263"/>
      <c r="H422" s="263"/>
      <c r="I422" s="263"/>
      <c r="J422" s="97">
        <f>D422*E422</f>
        <v>31.86</v>
      </c>
    </row>
    <row r="423" spans="1:10" ht="14.25">
      <c r="A423" s="43"/>
      <c r="B423" s="52"/>
      <c r="C423" s="50"/>
      <c r="D423" s="255"/>
      <c r="E423" s="255"/>
      <c r="F423" s="255"/>
      <c r="G423" s="255"/>
      <c r="H423" s="255"/>
      <c r="I423" s="256"/>
      <c r="J423" s="99"/>
    </row>
    <row r="424" spans="1:10" ht="14.25">
      <c r="A424" s="53"/>
      <c r="B424" s="47"/>
      <c r="C424" s="54"/>
      <c r="D424" s="261"/>
      <c r="E424" s="261"/>
      <c r="F424" s="261"/>
      <c r="G424" s="261"/>
      <c r="H424" s="261"/>
      <c r="I424" s="262"/>
      <c r="J424" s="100"/>
    </row>
    <row r="425" spans="1:10" ht="15">
      <c r="A425" s="48" t="s">
        <v>66</v>
      </c>
      <c r="B425" s="62" t="s">
        <v>117</v>
      </c>
      <c r="C425" s="63"/>
      <c r="D425" s="266"/>
      <c r="E425" s="266"/>
      <c r="F425" s="266"/>
      <c r="G425" s="266"/>
      <c r="H425" s="266"/>
      <c r="I425" s="266"/>
      <c r="J425" s="103"/>
    </row>
    <row r="426" spans="1:10" ht="42.75">
      <c r="A426" s="56" t="s">
        <v>67</v>
      </c>
      <c r="B426" s="34" t="s">
        <v>297</v>
      </c>
      <c r="C426" s="35" t="s">
        <v>216</v>
      </c>
      <c r="D426" s="260" t="s">
        <v>208</v>
      </c>
      <c r="E426" s="260" t="s">
        <v>209</v>
      </c>
      <c r="F426" s="260" t="s">
        <v>210</v>
      </c>
      <c r="G426" s="260" t="s">
        <v>211</v>
      </c>
      <c r="H426" s="260" t="s">
        <v>212</v>
      </c>
      <c r="I426" s="260" t="s">
        <v>213</v>
      </c>
      <c r="J426" s="85">
        <f>SUM(J428:J430)</f>
        <v>923.94</v>
      </c>
    </row>
    <row r="427" spans="1:10" ht="14.25">
      <c r="A427" s="57"/>
      <c r="B427" s="64"/>
      <c r="C427" s="58"/>
      <c r="D427" s="265"/>
      <c r="E427" s="265"/>
      <c r="F427" s="265"/>
      <c r="G427" s="265"/>
      <c r="H427" s="265"/>
      <c r="I427" s="265"/>
      <c r="J427" s="102"/>
    </row>
    <row r="428" spans="1:10" ht="28.5">
      <c r="A428" s="43"/>
      <c r="B428" s="64" t="s">
        <v>298</v>
      </c>
      <c r="C428" s="44"/>
      <c r="D428" s="263">
        <v>2</v>
      </c>
      <c r="E428" s="263"/>
      <c r="F428" s="263"/>
      <c r="G428" s="263"/>
      <c r="H428" s="263">
        <f>J272</f>
        <v>101.51</v>
      </c>
      <c r="I428" s="263"/>
      <c r="J428" s="97">
        <f>H428*D428</f>
        <v>203.02</v>
      </c>
    </row>
    <row r="429" spans="1:10" ht="28.5">
      <c r="A429" s="43"/>
      <c r="B429" s="64" t="s">
        <v>299</v>
      </c>
      <c r="C429" s="44"/>
      <c r="D429" s="263">
        <v>2</v>
      </c>
      <c r="E429" s="263"/>
      <c r="F429" s="263"/>
      <c r="G429" s="263"/>
      <c r="H429" s="263">
        <f>J280</f>
        <v>310.46</v>
      </c>
      <c r="I429" s="263"/>
      <c r="J429" s="97">
        <f>H429*D429</f>
        <v>620.92</v>
      </c>
    </row>
    <row r="430" spans="1:10" ht="28.5">
      <c r="A430" s="43"/>
      <c r="B430" s="64" t="s">
        <v>303</v>
      </c>
      <c r="C430" s="44"/>
      <c r="D430" s="263"/>
      <c r="E430" s="263"/>
      <c r="F430" s="263"/>
      <c r="G430" s="263"/>
      <c r="H430" s="263">
        <v>100</v>
      </c>
      <c r="I430" s="263"/>
      <c r="J430" s="99">
        <f>H430</f>
        <v>100</v>
      </c>
    </row>
    <row r="431" spans="1:10" ht="14.25">
      <c r="A431" s="43"/>
      <c r="B431" s="64"/>
      <c r="C431" s="44"/>
      <c r="D431" s="263"/>
      <c r="E431" s="263"/>
      <c r="F431" s="263"/>
      <c r="G431" s="263"/>
      <c r="H431" s="263"/>
      <c r="I431" s="263"/>
      <c r="J431" s="99"/>
    </row>
    <row r="432" spans="1:10" ht="28.5">
      <c r="A432" s="43"/>
      <c r="B432" s="111" t="s">
        <v>373</v>
      </c>
      <c r="C432" s="44"/>
      <c r="D432" s="263"/>
      <c r="E432" s="263"/>
      <c r="F432" s="263"/>
      <c r="G432" s="263"/>
      <c r="H432" s="263"/>
      <c r="I432" s="263"/>
      <c r="J432" s="99"/>
    </row>
    <row r="433" spans="1:10" ht="14.25">
      <c r="A433" s="43"/>
      <c r="B433" s="251"/>
      <c r="C433" s="50"/>
      <c r="D433" s="255"/>
      <c r="E433" s="255"/>
      <c r="F433" s="255"/>
      <c r="G433" s="255"/>
      <c r="H433" s="255"/>
      <c r="I433" s="256"/>
      <c r="J433" s="99"/>
    </row>
    <row r="434" spans="1:10" ht="14.25">
      <c r="A434" s="53"/>
      <c r="B434" s="47"/>
      <c r="C434" s="54"/>
      <c r="D434" s="261"/>
      <c r="E434" s="261"/>
      <c r="F434" s="261"/>
      <c r="G434" s="261"/>
      <c r="H434" s="261"/>
      <c r="I434" s="262"/>
      <c r="J434" s="100"/>
    </row>
    <row r="435" spans="1:10" ht="57">
      <c r="A435" s="56" t="s">
        <v>68</v>
      </c>
      <c r="B435" s="34" t="s">
        <v>300</v>
      </c>
      <c r="C435" s="35" t="s">
        <v>216</v>
      </c>
      <c r="D435" s="260" t="s">
        <v>208</v>
      </c>
      <c r="E435" s="260" t="s">
        <v>209</v>
      </c>
      <c r="F435" s="260" t="s">
        <v>210</v>
      </c>
      <c r="G435" s="260" t="s">
        <v>211</v>
      </c>
      <c r="H435" s="260" t="s">
        <v>212</v>
      </c>
      <c r="I435" s="260" t="s">
        <v>213</v>
      </c>
      <c r="J435" s="85">
        <f>SUM(J436:J457)</f>
        <v>230.31</v>
      </c>
    </row>
    <row r="436" spans="1:10" ht="14.25">
      <c r="A436" s="57"/>
      <c r="B436" s="49" t="s">
        <v>549</v>
      </c>
      <c r="C436" s="58"/>
      <c r="D436" s="265">
        <v>2</v>
      </c>
      <c r="E436" s="265">
        <v>2.86</v>
      </c>
      <c r="F436" s="265"/>
      <c r="G436" s="265">
        <v>2.8</v>
      </c>
      <c r="H436" s="265"/>
      <c r="I436" s="265"/>
      <c r="J436" s="102">
        <f>G436*E436*D436</f>
        <v>16.02</v>
      </c>
    </row>
    <row r="437" spans="1:10" ht="14.25">
      <c r="A437" s="43"/>
      <c r="B437" s="49"/>
      <c r="C437" s="44"/>
      <c r="D437" s="263">
        <v>2</v>
      </c>
      <c r="E437" s="263"/>
      <c r="F437" s="263">
        <v>1.86</v>
      </c>
      <c r="G437" s="263">
        <v>2.8</v>
      </c>
      <c r="H437" s="263"/>
      <c r="I437" s="263"/>
      <c r="J437" s="99">
        <f>G437*F437*D437</f>
        <v>10.42</v>
      </c>
    </row>
    <row r="438" spans="1:10" ht="14.25">
      <c r="A438" s="43"/>
      <c r="B438" s="49" t="s">
        <v>550</v>
      </c>
      <c r="C438" s="44"/>
      <c r="D438" s="263">
        <v>2</v>
      </c>
      <c r="E438" s="263">
        <v>2.86</v>
      </c>
      <c r="F438" s="263"/>
      <c r="G438" s="263">
        <v>2.8</v>
      </c>
      <c r="H438" s="263"/>
      <c r="I438" s="263"/>
      <c r="J438" s="99">
        <f>G438*E438*D438</f>
        <v>16.02</v>
      </c>
    </row>
    <row r="439" spans="1:10" ht="14.25">
      <c r="A439" s="43"/>
      <c r="B439" s="49"/>
      <c r="C439" s="44"/>
      <c r="D439" s="263">
        <v>2</v>
      </c>
      <c r="E439" s="263"/>
      <c r="F439" s="263">
        <v>1.86</v>
      </c>
      <c r="G439" s="263">
        <v>2.8</v>
      </c>
      <c r="H439" s="263"/>
      <c r="I439" s="263"/>
      <c r="J439" s="99">
        <f>G439*F439*D439</f>
        <v>10.42</v>
      </c>
    </row>
    <row r="440" spans="1:10" ht="14.25">
      <c r="A440" s="43"/>
      <c r="B440" s="49" t="s">
        <v>301</v>
      </c>
      <c r="C440" s="44"/>
      <c r="D440" s="263">
        <v>2</v>
      </c>
      <c r="E440" s="263">
        <v>2.86</v>
      </c>
      <c r="F440" s="263"/>
      <c r="G440" s="263">
        <v>2.8</v>
      </c>
      <c r="H440" s="263"/>
      <c r="I440" s="263"/>
      <c r="J440" s="99">
        <f>G440*E440*D440</f>
        <v>16.02</v>
      </c>
    </row>
    <row r="441" spans="1:10" ht="14.25">
      <c r="A441" s="43"/>
      <c r="B441" s="49"/>
      <c r="C441" s="44"/>
      <c r="D441" s="263">
        <v>2</v>
      </c>
      <c r="E441" s="263"/>
      <c r="F441" s="263">
        <v>2.5</v>
      </c>
      <c r="G441" s="263">
        <v>2.8</v>
      </c>
      <c r="H441" s="263"/>
      <c r="I441" s="263"/>
      <c r="J441" s="99">
        <f>G441*F441*D441</f>
        <v>14</v>
      </c>
    </row>
    <row r="442" spans="1:10" ht="14.25">
      <c r="A442" s="43"/>
      <c r="B442" s="49" t="s">
        <v>551</v>
      </c>
      <c r="C442" s="44"/>
      <c r="D442" s="263">
        <v>2</v>
      </c>
      <c r="E442" s="263">
        <v>2.75</v>
      </c>
      <c r="F442" s="263"/>
      <c r="G442" s="263">
        <v>2.8</v>
      </c>
      <c r="H442" s="263"/>
      <c r="I442" s="263"/>
      <c r="J442" s="99">
        <f>G442*E442*D442</f>
        <v>15.4</v>
      </c>
    </row>
    <row r="443" spans="1:10" ht="14.25">
      <c r="A443" s="43"/>
      <c r="B443" s="49"/>
      <c r="C443" s="44"/>
      <c r="D443" s="263">
        <v>2</v>
      </c>
      <c r="E443" s="263"/>
      <c r="F443" s="263">
        <v>1.69</v>
      </c>
      <c r="G443" s="263">
        <v>2.8</v>
      </c>
      <c r="H443" s="263"/>
      <c r="I443" s="263"/>
      <c r="J443" s="99">
        <f>G443*F443*D443</f>
        <v>9.46</v>
      </c>
    </row>
    <row r="444" spans="1:10" ht="14.25">
      <c r="A444" s="43"/>
      <c r="B444" s="49" t="s">
        <v>552</v>
      </c>
      <c r="C444" s="44"/>
      <c r="D444" s="263">
        <v>2</v>
      </c>
      <c r="E444" s="263">
        <v>2.75</v>
      </c>
      <c r="F444" s="263"/>
      <c r="G444" s="263">
        <v>2.8</v>
      </c>
      <c r="H444" s="263"/>
      <c r="I444" s="263"/>
      <c r="J444" s="99">
        <f>G444*E444*D444</f>
        <v>15.4</v>
      </c>
    </row>
    <row r="445" spans="1:10" ht="14.25">
      <c r="A445" s="43"/>
      <c r="B445" s="49"/>
      <c r="C445" s="44"/>
      <c r="D445" s="263">
        <v>2</v>
      </c>
      <c r="E445" s="263"/>
      <c r="F445" s="263">
        <v>1.69</v>
      </c>
      <c r="G445" s="263">
        <v>2.8</v>
      </c>
      <c r="H445" s="263"/>
      <c r="I445" s="263"/>
      <c r="J445" s="99">
        <f>G445*F445*D445</f>
        <v>9.46</v>
      </c>
    </row>
    <row r="446" spans="1:10" ht="14.25">
      <c r="A446" s="43"/>
      <c r="B446" s="49" t="s">
        <v>549</v>
      </c>
      <c r="C446" s="44"/>
      <c r="D446" s="263">
        <v>2</v>
      </c>
      <c r="E446" s="263">
        <v>1.75</v>
      </c>
      <c r="F446" s="263"/>
      <c r="G446" s="263">
        <v>2.8</v>
      </c>
      <c r="H446" s="263"/>
      <c r="I446" s="263"/>
      <c r="J446" s="99">
        <f>G446*E446*D446</f>
        <v>9.8</v>
      </c>
    </row>
    <row r="447" spans="1:10" ht="14.25">
      <c r="A447" s="43"/>
      <c r="B447" s="49"/>
      <c r="C447" s="44"/>
      <c r="D447" s="263">
        <v>2</v>
      </c>
      <c r="E447" s="263"/>
      <c r="F447" s="263">
        <v>1.5</v>
      </c>
      <c r="G447" s="263">
        <v>2.8</v>
      </c>
      <c r="H447" s="263"/>
      <c r="I447" s="263"/>
      <c r="J447" s="99">
        <f>G447*F447*D447</f>
        <v>8.4</v>
      </c>
    </row>
    <row r="448" spans="1:10" ht="14.25">
      <c r="A448" s="43"/>
      <c r="B448" s="49" t="s">
        <v>550</v>
      </c>
      <c r="C448" s="44"/>
      <c r="D448" s="263">
        <v>2</v>
      </c>
      <c r="E448" s="263">
        <v>1.75</v>
      </c>
      <c r="F448" s="263"/>
      <c r="G448" s="263">
        <v>2.8</v>
      </c>
      <c r="H448" s="263"/>
      <c r="I448" s="263"/>
      <c r="J448" s="99">
        <f>G448*E448*D448</f>
        <v>9.8</v>
      </c>
    </row>
    <row r="449" spans="1:10" ht="14.25">
      <c r="A449" s="43"/>
      <c r="B449" s="49"/>
      <c r="C449" s="44"/>
      <c r="D449" s="263">
        <v>2</v>
      </c>
      <c r="E449" s="263"/>
      <c r="F449" s="263">
        <v>1.5</v>
      </c>
      <c r="G449" s="263">
        <v>2.8</v>
      </c>
      <c r="H449" s="263"/>
      <c r="I449" s="263"/>
      <c r="J449" s="99">
        <f>G449*F449*D449</f>
        <v>8.4</v>
      </c>
    </row>
    <row r="450" spans="1:10" ht="14.25">
      <c r="A450" s="43"/>
      <c r="B450" s="49" t="s">
        <v>553</v>
      </c>
      <c r="C450" s="44"/>
      <c r="D450" s="263">
        <v>2</v>
      </c>
      <c r="E450" s="263">
        <v>2.05</v>
      </c>
      <c r="F450" s="263"/>
      <c r="G450" s="263">
        <v>2.8</v>
      </c>
      <c r="H450" s="263"/>
      <c r="I450" s="263"/>
      <c r="J450" s="99">
        <f>G450*E450*D450</f>
        <v>11.48</v>
      </c>
    </row>
    <row r="451" spans="1:10" ht="14.25">
      <c r="A451" s="43"/>
      <c r="B451" s="49"/>
      <c r="C451" s="44"/>
      <c r="D451" s="263">
        <v>2</v>
      </c>
      <c r="E451" s="263"/>
      <c r="F451" s="263">
        <v>1.27</v>
      </c>
      <c r="G451" s="263">
        <v>2.8</v>
      </c>
      <c r="H451" s="263"/>
      <c r="I451" s="263"/>
      <c r="J451" s="99">
        <f>G451*F451*D451</f>
        <v>7.11</v>
      </c>
    </row>
    <row r="452" spans="1:10" ht="14.25">
      <c r="A452" s="479"/>
      <c r="B452" s="49" t="s">
        <v>603</v>
      </c>
      <c r="C452" s="44"/>
      <c r="D452" s="263">
        <v>2</v>
      </c>
      <c r="E452" s="263"/>
      <c r="F452" s="263">
        <v>1.73</v>
      </c>
      <c r="G452" s="263">
        <v>1.8</v>
      </c>
      <c r="H452" s="263"/>
      <c r="I452" s="263"/>
      <c r="J452" s="99">
        <f>G452*F452*D452</f>
        <v>6.23</v>
      </c>
    </row>
    <row r="453" spans="1:10" ht="14.25">
      <c r="A453" s="43"/>
      <c r="B453" s="49"/>
      <c r="C453" s="44"/>
      <c r="D453" s="263">
        <v>2</v>
      </c>
      <c r="E453" s="263">
        <v>4.2</v>
      </c>
      <c r="F453" s="263"/>
      <c r="G453" s="263">
        <v>1.8</v>
      </c>
      <c r="H453" s="263"/>
      <c r="I453" s="263"/>
      <c r="J453" s="99">
        <f>G453*E453*D453</f>
        <v>15.12</v>
      </c>
    </row>
    <row r="454" spans="1:10" ht="14.25">
      <c r="A454" s="43"/>
      <c r="B454" s="49" t="s">
        <v>462</v>
      </c>
      <c r="C454" s="44"/>
      <c r="D454" s="263">
        <v>2</v>
      </c>
      <c r="E454" s="263"/>
      <c r="F454" s="263">
        <v>1.73</v>
      </c>
      <c r="G454" s="263">
        <v>1.8</v>
      </c>
      <c r="H454" s="263"/>
      <c r="I454" s="263"/>
      <c r="J454" s="99">
        <f>G454*F454*D454</f>
        <v>6.23</v>
      </c>
    </row>
    <row r="455" spans="1:10" ht="14.25">
      <c r="A455" s="43"/>
      <c r="B455" s="49"/>
      <c r="C455" s="44"/>
      <c r="D455" s="263">
        <v>2</v>
      </c>
      <c r="E455" s="263">
        <v>4.2</v>
      </c>
      <c r="F455" s="263"/>
      <c r="G455" s="263">
        <v>1.8</v>
      </c>
      <c r="H455" s="263"/>
      <c r="I455" s="263"/>
      <c r="J455" s="99">
        <f>G455*E455*D455</f>
        <v>15.12</v>
      </c>
    </row>
    <row r="456" spans="1:10" ht="28.5">
      <c r="A456" s="43"/>
      <c r="B456" s="111" t="s">
        <v>372</v>
      </c>
      <c r="C456" s="44"/>
      <c r="D456" s="263"/>
      <c r="E456" s="263"/>
      <c r="F456" s="263"/>
      <c r="G456" s="263"/>
      <c r="H456" s="263"/>
      <c r="I456" s="263"/>
      <c r="J456" s="99"/>
    </row>
    <row r="457" spans="1:10" ht="14.25">
      <c r="A457" s="43"/>
      <c r="B457" s="52"/>
      <c r="C457" s="50"/>
      <c r="D457" s="255"/>
      <c r="E457" s="255"/>
      <c r="F457" s="255"/>
      <c r="G457" s="255"/>
      <c r="H457" s="255"/>
      <c r="I457" s="256"/>
      <c r="J457" s="99"/>
    </row>
    <row r="458" spans="1:10" ht="14.25">
      <c r="A458" s="53"/>
      <c r="B458" s="47"/>
      <c r="C458" s="54"/>
      <c r="D458" s="261"/>
      <c r="E458" s="261"/>
      <c r="F458" s="261"/>
      <c r="G458" s="261"/>
      <c r="H458" s="261"/>
      <c r="I458" s="262"/>
      <c r="J458" s="100"/>
    </row>
    <row r="459" spans="1:10" ht="42.75">
      <c r="A459" s="56" t="s">
        <v>69</v>
      </c>
      <c r="B459" s="34" t="s">
        <v>302</v>
      </c>
      <c r="C459" s="35" t="s">
        <v>216</v>
      </c>
      <c r="D459" s="260" t="s">
        <v>208</v>
      </c>
      <c r="E459" s="260" t="s">
        <v>209</v>
      </c>
      <c r="F459" s="260" t="s">
        <v>210</v>
      </c>
      <c r="G459" s="260" t="s">
        <v>211</v>
      </c>
      <c r="H459" s="260" t="s">
        <v>212</v>
      </c>
      <c r="I459" s="260" t="s">
        <v>213</v>
      </c>
      <c r="J459" s="85">
        <f>J460</f>
        <v>230.31</v>
      </c>
    </row>
    <row r="460" spans="1:10" ht="14.25">
      <c r="A460" s="57"/>
      <c r="B460" s="49" t="s">
        <v>304</v>
      </c>
      <c r="C460" s="58"/>
      <c r="D460" s="265"/>
      <c r="E460" s="265"/>
      <c r="F460" s="265"/>
      <c r="G460" s="265"/>
      <c r="H460" s="265">
        <f>J435</f>
        <v>230.31</v>
      </c>
      <c r="I460" s="265"/>
      <c r="J460" s="102">
        <f>H460</f>
        <v>230.31</v>
      </c>
    </row>
    <row r="461" spans="1:10" ht="14.25">
      <c r="A461" s="43"/>
      <c r="B461" s="52"/>
      <c r="C461" s="50"/>
      <c r="D461" s="255"/>
      <c r="E461" s="255"/>
      <c r="F461" s="255"/>
      <c r="G461" s="255"/>
      <c r="H461" s="255"/>
      <c r="I461" s="256"/>
      <c r="J461" s="99"/>
    </row>
    <row r="462" spans="1:10" ht="14.25">
      <c r="A462" s="53"/>
      <c r="B462" s="47"/>
      <c r="C462" s="54"/>
      <c r="D462" s="261"/>
      <c r="E462" s="261"/>
      <c r="F462" s="261"/>
      <c r="G462" s="261"/>
      <c r="H462" s="261"/>
      <c r="I462" s="262"/>
      <c r="J462" s="100"/>
    </row>
    <row r="463" spans="1:10" ht="15" hidden="1">
      <c r="A463" s="56" t="s">
        <v>224</v>
      </c>
      <c r="B463" s="34" t="e">
        <f>#REF!</f>
        <v>#REF!</v>
      </c>
      <c r="C463" s="35" t="e">
        <f>#REF!</f>
        <v>#REF!</v>
      </c>
      <c r="D463" s="260" t="s">
        <v>209</v>
      </c>
      <c r="E463" s="260" t="s">
        <v>210</v>
      </c>
      <c r="F463" s="260" t="s">
        <v>211</v>
      </c>
      <c r="G463" s="260"/>
      <c r="H463" s="260"/>
      <c r="I463" s="260" t="s">
        <v>208</v>
      </c>
      <c r="J463" s="85"/>
    </row>
    <row r="464" spans="1:10" ht="14.25" hidden="1">
      <c r="A464" s="57"/>
      <c r="B464" s="52" t="s">
        <v>223</v>
      </c>
      <c r="C464" s="58"/>
      <c r="D464" s="265"/>
      <c r="E464" s="265"/>
      <c r="F464" s="265"/>
      <c r="G464" s="265"/>
      <c r="H464" s="265"/>
      <c r="I464" s="265"/>
      <c r="J464" s="102"/>
    </row>
    <row r="465" spans="1:10" ht="14.25" hidden="1">
      <c r="A465" s="43"/>
      <c r="B465" s="52" t="s">
        <v>225</v>
      </c>
      <c r="C465" s="50"/>
      <c r="D465" s="275"/>
      <c r="E465" s="269">
        <v>25</v>
      </c>
      <c r="F465" s="255"/>
      <c r="G465" s="255"/>
      <c r="H465" s="255"/>
      <c r="I465" s="256"/>
      <c r="J465" s="99">
        <f>E465</f>
        <v>25</v>
      </c>
    </row>
    <row r="466" spans="1:10" ht="14.25" hidden="1">
      <c r="A466" s="43"/>
      <c r="B466" s="52" t="s">
        <v>226</v>
      </c>
      <c r="C466" s="50"/>
      <c r="D466" s="270"/>
      <c r="E466" s="269">
        <v>75</v>
      </c>
      <c r="F466" s="255"/>
      <c r="G466" s="255"/>
      <c r="H466" s="255"/>
      <c r="I466" s="256"/>
      <c r="J466" s="99">
        <f>E466</f>
        <v>75</v>
      </c>
    </row>
    <row r="467" spans="1:10" ht="14.25" hidden="1">
      <c r="A467" s="43"/>
      <c r="B467" s="52"/>
      <c r="C467" s="50"/>
      <c r="D467" s="255"/>
      <c r="E467" s="255"/>
      <c r="F467" s="255"/>
      <c r="G467" s="255"/>
      <c r="H467" s="255"/>
      <c r="I467" s="256"/>
      <c r="J467" s="99"/>
    </row>
    <row r="468" spans="1:10" ht="14.25" hidden="1">
      <c r="A468" s="53"/>
      <c r="B468" s="47"/>
      <c r="C468" s="54"/>
      <c r="D468" s="261"/>
      <c r="E468" s="261"/>
      <c r="F468" s="261"/>
      <c r="G468" s="261"/>
      <c r="H468" s="261"/>
      <c r="I468" s="262"/>
      <c r="J468" s="100"/>
    </row>
    <row r="469" spans="1:10" ht="42.75">
      <c r="A469" s="56" t="s">
        <v>70</v>
      </c>
      <c r="B469" s="34" t="s">
        <v>305</v>
      </c>
      <c r="C469" s="35" t="s">
        <v>216</v>
      </c>
      <c r="D469" s="260" t="s">
        <v>208</v>
      </c>
      <c r="E469" s="260" t="s">
        <v>209</v>
      </c>
      <c r="F469" s="260" t="s">
        <v>210</v>
      </c>
      <c r="G469" s="260" t="s">
        <v>211</v>
      </c>
      <c r="H469" s="260" t="s">
        <v>212</v>
      </c>
      <c r="I469" s="260" t="s">
        <v>213</v>
      </c>
      <c r="J469" s="85">
        <f>J470</f>
        <v>693.63</v>
      </c>
    </row>
    <row r="470" spans="1:10" ht="14.25">
      <c r="A470" s="57"/>
      <c r="B470" s="49" t="s">
        <v>306</v>
      </c>
      <c r="C470" s="58"/>
      <c r="D470" s="265"/>
      <c r="E470" s="265"/>
      <c r="F470" s="265"/>
      <c r="G470" s="265"/>
      <c r="H470" s="265">
        <f>J426-J435</f>
        <v>693.63</v>
      </c>
      <c r="I470" s="265"/>
      <c r="J470" s="102">
        <f>H470</f>
        <v>693.63</v>
      </c>
    </row>
    <row r="471" spans="1:10" ht="14.25">
      <c r="A471" s="479"/>
      <c r="B471" s="52"/>
      <c r="C471" s="50"/>
      <c r="D471" s="255"/>
      <c r="E471" s="255"/>
      <c r="F471" s="255"/>
      <c r="G471" s="255"/>
      <c r="H471" s="255"/>
      <c r="I471" s="256"/>
      <c r="J471" s="99"/>
    </row>
    <row r="472" spans="1:10" ht="14.25">
      <c r="A472" s="478"/>
      <c r="B472" s="47"/>
      <c r="C472" s="54"/>
      <c r="D472" s="261"/>
      <c r="E472" s="261"/>
      <c r="F472" s="261"/>
      <c r="G472" s="261"/>
      <c r="H472" s="261"/>
      <c r="I472" s="262"/>
      <c r="J472" s="100"/>
    </row>
    <row r="473" spans="1:10" ht="15">
      <c r="A473" s="48" t="s">
        <v>71</v>
      </c>
      <c r="B473" s="62" t="s">
        <v>26</v>
      </c>
      <c r="C473" s="63"/>
      <c r="D473" s="266"/>
      <c r="E473" s="266"/>
      <c r="F473" s="266"/>
      <c r="G473" s="266"/>
      <c r="H473" s="266"/>
      <c r="I473" s="266"/>
      <c r="J473" s="103"/>
    </row>
    <row r="474" spans="1:10" ht="42.75">
      <c r="A474" s="56" t="s">
        <v>22</v>
      </c>
      <c r="B474" s="34" t="s">
        <v>307</v>
      </c>
      <c r="C474" s="35" t="s">
        <v>216</v>
      </c>
      <c r="D474" s="260" t="s">
        <v>208</v>
      </c>
      <c r="E474" s="260" t="s">
        <v>209</v>
      </c>
      <c r="F474" s="260" t="s">
        <v>210</v>
      </c>
      <c r="G474" s="260" t="s">
        <v>211</v>
      </c>
      <c r="H474" s="260" t="s">
        <v>212</v>
      </c>
      <c r="I474" s="260" t="s">
        <v>213</v>
      </c>
      <c r="J474" s="85">
        <f>SUM(J476:J507)</f>
        <v>352.07</v>
      </c>
    </row>
    <row r="475" spans="1:10" ht="14.25">
      <c r="A475" s="57"/>
      <c r="B475" s="64" t="s">
        <v>612</v>
      </c>
      <c r="C475" s="58"/>
      <c r="D475" s="265"/>
      <c r="E475" s="265"/>
      <c r="F475" s="265"/>
      <c r="G475" s="265"/>
      <c r="H475" s="265"/>
      <c r="I475" s="265"/>
      <c r="J475" s="102"/>
    </row>
    <row r="476" spans="1:10" ht="14.25">
      <c r="A476" s="43"/>
      <c r="B476" s="64" t="s">
        <v>613</v>
      </c>
      <c r="C476" s="44"/>
      <c r="D476" s="263"/>
      <c r="E476" s="263"/>
      <c r="F476" s="263"/>
      <c r="G476" s="263"/>
      <c r="H476" s="263"/>
      <c r="I476" s="263"/>
      <c r="J476" s="97">
        <f>C476</f>
        <v>0</v>
      </c>
    </row>
    <row r="477" spans="1:10" ht="14.25">
      <c r="A477" s="43"/>
      <c r="B477" s="64" t="s">
        <v>614</v>
      </c>
      <c r="C477" s="44">
        <v>5.27</v>
      </c>
      <c r="D477" s="263"/>
      <c r="E477" s="263"/>
      <c r="F477" s="263"/>
      <c r="G477" s="263"/>
      <c r="H477" s="263"/>
      <c r="I477" s="263"/>
      <c r="J477" s="97">
        <f aca="true" t="shared" si="14" ref="J477:J484">C477</f>
        <v>5.27</v>
      </c>
    </row>
    <row r="478" spans="1:10" ht="14.25">
      <c r="A478" s="43"/>
      <c r="B478" s="64" t="s">
        <v>615</v>
      </c>
      <c r="C478" s="44">
        <v>5.27</v>
      </c>
      <c r="D478" s="263"/>
      <c r="E478" s="263"/>
      <c r="F478" s="263"/>
      <c r="G478" s="263"/>
      <c r="H478" s="263"/>
      <c r="I478" s="263"/>
      <c r="J478" s="97">
        <f t="shared" si="14"/>
        <v>5.27</v>
      </c>
    </row>
    <row r="479" spans="1:10" ht="14.25">
      <c r="A479" s="43"/>
      <c r="B479" s="64" t="s">
        <v>301</v>
      </c>
      <c r="C479" s="44">
        <v>7.15</v>
      </c>
      <c r="D479" s="263"/>
      <c r="E479" s="263"/>
      <c r="F479" s="263"/>
      <c r="G479" s="263"/>
      <c r="H479" s="263"/>
      <c r="I479" s="263"/>
      <c r="J479" s="97">
        <f t="shared" si="14"/>
        <v>7.15</v>
      </c>
    </row>
    <row r="480" spans="1:10" ht="14.25">
      <c r="A480" s="43"/>
      <c r="B480" s="64" t="s">
        <v>616</v>
      </c>
      <c r="C480" s="44">
        <v>4.31</v>
      </c>
      <c r="D480" s="263"/>
      <c r="E480" s="263"/>
      <c r="F480" s="263"/>
      <c r="G480" s="263"/>
      <c r="H480" s="263"/>
      <c r="I480" s="263"/>
      <c r="J480" s="97">
        <f t="shared" si="14"/>
        <v>4.31</v>
      </c>
    </row>
    <row r="481" spans="1:10" ht="14.25">
      <c r="A481" s="43"/>
      <c r="B481" s="64" t="s">
        <v>617</v>
      </c>
      <c r="C481" s="44">
        <v>4.31</v>
      </c>
      <c r="D481" s="263"/>
      <c r="E481" s="263"/>
      <c r="F481" s="263"/>
      <c r="G481" s="263"/>
      <c r="H481" s="263"/>
      <c r="I481" s="263"/>
      <c r="J481" s="97">
        <f t="shared" si="14"/>
        <v>4.31</v>
      </c>
    </row>
    <row r="482" spans="1:10" ht="14.25">
      <c r="A482" s="43"/>
      <c r="B482" s="64" t="s">
        <v>618</v>
      </c>
      <c r="C482" s="44">
        <v>2.63</v>
      </c>
      <c r="D482" s="263"/>
      <c r="E482" s="263"/>
      <c r="F482" s="263"/>
      <c r="G482" s="263"/>
      <c r="H482" s="263"/>
      <c r="I482" s="263"/>
      <c r="J482" s="97">
        <f t="shared" si="14"/>
        <v>2.63</v>
      </c>
    </row>
    <row r="483" spans="1:10" ht="14.25">
      <c r="A483" s="43"/>
      <c r="B483" s="64" t="s">
        <v>615</v>
      </c>
      <c r="C483" s="44">
        <v>2.63</v>
      </c>
      <c r="D483" s="263"/>
      <c r="E483" s="263"/>
      <c r="F483" s="263"/>
      <c r="G483" s="263"/>
      <c r="H483" s="263"/>
      <c r="I483" s="263"/>
      <c r="J483" s="97">
        <f t="shared" si="14"/>
        <v>2.63</v>
      </c>
    </row>
    <row r="484" spans="1:10" ht="14.25">
      <c r="A484" s="43"/>
      <c r="B484" s="64" t="s">
        <v>619</v>
      </c>
      <c r="C484" s="44">
        <v>2.6</v>
      </c>
      <c r="D484" s="263"/>
      <c r="E484" s="263"/>
      <c r="F484" s="263"/>
      <c r="G484" s="263"/>
      <c r="H484" s="263"/>
      <c r="I484" s="263"/>
      <c r="J484" s="97">
        <f t="shared" si="14"/>
        <v>2.6</v>
      </c>
    </row>
    <row r="485" spans="1:10" ht="14.25">
      <c r="A485" s="43"/>
      <c r="B485" s="49" t="s">
        <v>601</v>
      </c>
      <c r="C485" s="50">
        <v>8.24</v>
      </c>
      <c r="D485" s="255"/>
      <c r="E485" s="255"/>
      <c r="F485" s="255"/>
      <c r="G485" s="255"/>
      <c r="H485" s="255"/>
      <c r="I485" s="256"/>
      <c r="J485" s="97">
        <f>C485</f>
        <v>8.24</v>
      </c>
    </row>
    <row r="486" spans="1:10" ht="14.25">
      <c r="A486" s="43"/>
      <c r="B486" s="49" t="s">
        <v>602</v>
      </c>
      <c r="C486" s="50">
        <v>2.77</v>
      </c>
      <c r="D486" s="255"/>
      <c r="E486" s="255"/>
      <c r="F486" s="255"/>
      <c r="G486" s="255"/>
      <c r="H486" s="255"/>
      <c r="I486" s="256"/>
      <c r="J486" s="97">
        <f aca="true" t="shared" si="15" ref="J486:J497">C486</f>
        <v>2.77</v>
      </c>
    </row>
    <row r="487" spans="1:10" ht="14.25">
      <c r="A487" s="43"/>
      <c r="B487" s="49" t="s">
        <v>603</v>
      </c>
      <c r="C487" s="50">
        <v>7.25</v>
      </c>
      <c r="D487" s="255"/>
      <c r="E487" s="255"/>
      <c r="F487" s="255"/>
      <c r="G487" s="255"/>
      <c r="H487" s="255"/>
      <c r="I487" s="256"/>
      <c r="J487" s="97">
        <f t="shared" si="15"/>
        <v>7.25</v>
      </c>
    </row>
    <row r="488" spans="1:10" ht="14.25">
      <c r="A488" s="43"/>
      <c r="B488" s="49" t="s">
        <v>462</v>
      </c>
      <c r="C488" s="50">
        <v>7.25</v>
      </c>
      <c r="D488" s="255"/>
      <c r="E488" s="255"/>
      <c r="F488" s="255"/>
      <c r="G488" s="255"/>
      <c r="H488" s="255"/>
      <c r="I488" s="256"/>
      <c r="J488" s="97">
        <f t="shared" si="15"/>
        <v>7.25</v>
      </c>
    </row>
    <row r="489" spans="1:10" ht="14.25">
      <c r="A489" s="43"/>
      <c r="B489" s="49" t="s">
        <v>604</v>
      </c>
      <c r="C489" s="50">
        <v>9.23</v>
      </c>
      <c r="D489" s="255"/>
      <c r="E489" s="255"/>
      <c r="F489" s="255"/>
      <c r="G489" s="255"/>
      <c r="H489" s="255"/>
      <c r="I489" s="256"/>
      <c r="J489" s="97">
        <f t="shared" si="15"/>
        <v>9.23</v>
      </c>
    </row>
    <row r="490" spans="1:10" ht="14.25">
      <c r="A490" s="43"/>
      <c r="B490" s="49" t="s">
        <v>605</v>
      </c>
      <c r="C490" s="50">
        <v>1.58</v>
      </c>
      <c r="D490" s="255"/>
      <c r="E490" s="255"/>
      <c r="F490" s="255"/>
      <c r="G490" s="255"/>
      <c r="H490" s="255"/>
      <c r="I490" s="256"/>
      <c r="J490" s="97">
        <f t="shared" si="15"/>
        <v>1.58</v>
      </c>
    </row>
    <row r="491" spans="1:10" ht="14.25">
      <c r="A491" s="43"/>
      <c r="B491" s="49" t="s">
        <v>466</v>
      </c>
      <c r="C491" s="50">
        <v>6.13</v>
      </c>
      <c r="D491" s="255"/>
      <c r="E491" s="255"/>
      <c r="F491" s="255"/>
      <c r="G491" s="255"/>
      <c r="H491" s="255"/>
      <c r="I491" s="256"/>
      <c r="J491" s="97">
        <f t="shared" si="15"/>
        <v>6.13</v>
      </c>
    </row>
    <row r="492" spans="1:10" ht="14.25">
      <c r="A492" s="43"/>
      <c r="B492" s="49" t="s">
        <v>310</v>
      </c>
      <c r="C492" s="50">
        <v>3.24</v>
      </c>
      <c r="D492" s="255"/>
      <c r="E492" s="255"/>
      <c r="F492" s="255"/>
      <c r="G492" s="255"/>
      <c r="H492" s="255"/>
      <c r="I492" s="256"/>
      <c r="J492" s="97">
        <f t="shared" si="15"/>
        <v>3.24</v>
      </c>
    </row>
    <row r="493" spans="1:10" ht="14.25">
      <c r="A493" s="43"/>
      <c r="B493" s="49" t="s">
        <v>606</v>
      </c>
      <c r="C493" s="50">
        <v>40.73</v>
      </c>
      <c r="D493" s="255"/>
      <c r="E493" s="255"/>
      <c r="F493" s="255"/>
      <c r="G493" s="255"/>
      <c r="H493" s="255"/>
      <c r="I493" s="256"/>
      <c r="J493" s="97">
        <f t="shared" si="15"/>
        <v>40.73</v>
      </c>
    </row>
    <row r="494" spans="1:10" ht="14.25">
      <c r="A494" s="43"/>
      <c r="B494" s="49" t="s">
        <v>519</v>
      </c>
      <c r="C494" s="50">
        <v>10.83</v>
      </c>
      <c r="D494" s="255"/>
      <c r="E494" s="255"/>
      <c r="F494" s="255"/>
      <c r="G494" s="255"/>
      <c r="H494" s="255"/>
      <c r="I494" s="256"/>
      <c r="J494" s="97">
        <f t="shared" si="15"/>
        <v>10.83</v>
      </c>
    </row>
    <row r="495" spans="1:10" ht="14.25">
      <c r="A495" s="43"/>
      <c r="B495" s="49" t="s">
        <v>608</v>
      </c>
      <c r="C495" s="50">
        <v>6.35</v>
      </c>
      <c r="D495" s="255"/>
      <c r="E495" s="255"/>
      <c r="F495" s="255"/>
      <c r="G495" s="255"/>
      <c r="H495" s="255"/>
      <c r="I495" s="256"/>
      <c r="J495" s="97">
        <f t="shared" si="15"/>
        <v>6.35</v>
      </c>
    </row>
    <row r="496" spans="1:10" ht="14.25">
      <c r="A496" s="43"/>
      <c r="B496" s="49" t="s">
        <v>511</v>
      </c>
      <c r="C496" s="44">
        <v>11.07</v>
      </c>
      <c r="D496" s="264"/>
      <c r="E496" s="264"/>
      <c r="F496" s="264"/>
      <c r="G496" s="264"/>
      <c r="H496" s="264"/>
      <c r="I496" s="263"/>
      <c r="J496" s="97">
        <f t="shared" si="15"/>
        <v>11.07</v>
      </c>
    </row>
    <row r="497" spans="1:10" ht="14.25">
      <c r="A497" s="43"/>
      <c r="B497" s="49" t="s">
        <v>631</v>
      </c>
      <c r="C497" s="44">
        <v>21.92</v>
      </c>
      <c r="D497" s="264"/>
      <c r="E497" s="264"/>
      <c r="F497" s="264"/>
      <c r="G497" s="264"/>
      <c r="H497" s="264"/>
      <c r="I497" s="263"/>
      <c r="J497" s="97">
        <f t="shared" si="15"/>
        <v>21.92</v>
      </c>
    </row>
    <row r="498" spans="1:10" ht="14.25">
      <c r="A498" s="43"/>
      <c r="B498" s="64" t="s">
        <v>621</v>
      </c>
      <c r="C498" s="44"/>
      <c r="D498" s="263"/>
      <c r="E498" s="263"/>
      <c r="F498" s="263"/>
      <c r="G498" s="263"/>
      <c r="H498" s="263"/>
      <c r="I498" s="263"/>
      <c r="J498" s="97"/>
    </row>
    <row r="499" spans="1:10" ht="14.25">
      <c r="A499" s="43"/>
      <c r="B499" s="49" t="s">
        <v>607</v>
      </c>
      <c r="C499" s="50">
        <v>88.45</v>
      </c>
      <c r="D499" s="255"/>
      <c r="E499" s="255"/>
      <c r="F499" s="255"/>
      <c r="G499" s="255"/>
      <c r="H499" s="255"/>
      <c r="I499" s="256"/>
      <c r="J499" s="97">
        <f aca="true" t="shared" si="16" ref="J499:J504">C499</f>
        <v>88.45</v>
      </c>
    </row>
    <row r="500" spans="1:10" ht="14.25">
      <c r="A500" s="43"/>
      <c r="B500" s="49" t="s">
        <v>464</v>
      </c>
      <c r="C500" s="50">
        <v>27.21</v>
      </c>
      <c r="D500" s="255"/>
      <c r="E500" s="255"/>
      <c r="F500" s="255"/>
      <c r="G500" s="255"/>
      <c r="H500" s="255"/>
      <c r="I500" s="256"/>
      <c r="J500" s="97">
        <f t="shared" si="16"/>
        <v>27.21</v>
      </c>
    </row>
    <row r="501" spans="1:10" ht="14.25">
      <c r="A501" s="43"/>
      <c r="B501" s="49" t="s">
        <v>608</v>
      </c>
      <c r="C501" s="50">
        <v>6.35</v>
      </c>
      <c r="D501" s="255"/>
      <c r="E501" s="255"/>
      <c r="F501" s="255"/>
      <c r="G501" s="255"/>
      <c r="H501" s="255"/>
      <c r="I501" s="256"/>
      <c r="J501" s="97">
        <f t="shared" si="16"/>
        <v>6.35</v>
      </c>
    </row>
    <row r="502" spans="1:10" ht="14.25">
      <c r="A502" s="43"/>
      <c r="B502" s="49" t="s">
        <v>609</v>
      </c>
      <c r="C502" s="50">
        <v>10.93</v>
      </c>
      <c r="D502" s="255"/>
      <c r="E502" s="255"/>
      <c r="F502" s="255"/>
      <c r="G502" s="255"/>
      <c r="H502" s="255"/>
      <c r="I502" s="256"/>
      <c r="J502" s="97">
        <f t="shared" si="16"/>
        <v>10.93</v>
      </c>
    </row>
    <row r="503" spans="1:10" ht="14.25">
      <c r="A503" s="43"/>
      <c r="B503" s="49" t="s">
        <v>610</v>
      </c>
      <c r="C503" s="50">
        <v>10.17</v>
      </c>
      <c r="D503" s="255"/>
      <c r="E503" s="255"/>
      <c r="F503" s="255"/>
      <c r="G503" s="255"/>
      <c r="H503" s="255"/>
      <c r="I503" s="256"/>
      <c r="J503" s="97">
        <f t="shared" si="16"/>
        <v>10.17</v>
      </c>
    </row>
    <row r="504" spans="1:10" ht="14.25">
      <c r="A504" s="43"/>
      <c r="B504" s="49" t="s">
        <v>517</v>
      </c>
      <c r="C504" s="50">
        <v>9</v>
      </c>
      <c r="D504" s="255"/>
      <c r="E504" s="255"/>
      <c r="F504" s="255"/>
      <c r="G504" s="255"/>
      <c r="H504" s="255"/>
      <c r="I504" s="256"/>
      <c r="J504" s="97">
        <f t="shared" si="16"/>
        <v>9</v>
      </c>
    </row>
    <row r="505" spans="1:10" ht="14.25">
      <c r="A505" s="43"/>
      <c r="B505" s="49" t="s">
        <v>611</v>
      </c>
      <c r="C505" s="50">
        <v>16.87</v>
      </c>
      <c r="D505" s="255"/>
      <c r="E505" s="255"/>
      <c r="F505" s="255"/>
      <c r="G505" s="255"/>
      <c r="H505" s="255"/>
      <c r="I505" s="256"/>
      <c r="J505" s="97">
        <f>C505</f>
        <v>16.87</v>
      </c>
    </row>
    <row r="506" spans="1:10" ht="14.25">
      <c r="A506" s="43"/>
      <c r="B506" s="49" t="s">
        <v>620</v>
      </c>
      <c r="C506" s="50">
        <v>12.33</v>
      </c>
      <c r="D506" s="255"/>
      <c r="E506" s="255"/>
      <c r="F506" s="255"/>
      <c r="G506" s="255"/>
      <c r="H506" s="255"/>
      <c r="I506" s="256"/>
      <c r="J506" s="97">
        <f>C506</f>
        <v>12.33</v>
      </c>
    </row>
    <row r="507" spans="1:10" ht="14.25">
      <c r="A507" s="43"/>
      <c r="B507" s="64"/>
      <c r="C507" s="44"/>
      <c r="D507" s="263"/>
      <c r="E507" s="263"/>
      <c r="F507" s="263"/>
      <c r="G507" s="263"/>
      <c r="H507" s="263"/>
      <c r="I507" s="263"/>
      <c r="J507" s="99"/>
    </row>
    <row r="508" spans="1:10" ht="14.25">
      <c r="A508" s="53"/>
      <c r="B508" s="47"/>
      <c r="C508" s="54"/>
      <c r="D508" s="261"/>
      <c r="E508" s="261"/>
      <c r="F508" s="261"/>
      <c r="G508" s="261"/>
      <c r="H508" s="261"/>
      <c r="I508" s="262"/>
      <c r="J508" s="100"/>
    </row>
    <row r="509" spans="1:10" ht="14.25">
      <c r="A509" s="53"/>
      <c r="B509" s="47"/>
      <c r="C509" s="54"/>
      <c r="D509" s="261"/>
      <c r="E509" s="261"/>
      <c r="F509" s="261"/>
      <c r="G509" s="261"/>
      <c r="H509" s="261"/>
      <c r="I509" s="262"/>
      <c r="J509" s="100"/>
    </row>
    <row r="510" spans="1:10" ht="68.25" customHeight="1">
      <c r="A510" s="56" t="s">
        <v>36</v>
      </c>
      <c r="B510" s="34" t="s">
        <v>309</v>
      </c>
      <c r="C510" s="35" t="s">
        <v>216</v>
      </c>
      <c r="D510" s="260" t="s">
        <v>208</v>
      </c>
      <c r="E510" s="260" t="s">
        <v>209</v>
      </c>
      <c r="F510" s="260" t="s">
        <v>210</v>
      </c>
      <c r="G510" s="260" t="s">
        <v>211</v>
      </c>
      <c r="H510" s="260" t="s">
        <v>212</v>
      </c>
      <c r="I510" s="260" t="s">
        <v>213</v>
      </c>
      <c r="J510" s="85">
        <f>SUM(J512:J521)</f>
        <v>34.17</v>
      </c>
    </row>
    <row r="511" spans="1:10" ht="14.25">
      <c r="A511" s="79"/>
      <c r="B511" s="64" t="s">
        <v>612</v>
      </c>
      <c r="C511" s="58"/>
      <c r="D511" s="265"/>
      <c r="E511" s="265"/>
      <c r="F511" s="265"/>
      <c r="G511" s="265"/>
      <c r="H511" s="265"/>
      <c r="I511" s="265"/>
      <c r="J511" s="102"/>
    </row>
    <row r="512" spans="1:10" ht="14.25">
      <c r="A512" s="80"/>
      <c r="B512" s="64" t="s">
        <v>613</v>
      </c>
      <c r="C512" s="44"/>
      <c r="D512" s="263"/>
      <c r="E512" s="263"/>
      <c r="F512" s="263"/>
      <c r="G512" s="263"/>
      <c r="H512" s="263"/>
      <c r="I512" s="263"/>
      <c r="J512" s="97"/>
    </row>
    <row r="513" spans="1:10" ht="14.25">
      <c r="A513" s="80"/>
      <c r="B513" s="64" t="s">
        <v>614</v>
      </c>
      <c r="C513" s="44">
        <v>5.27</v>
      </c>
      <c r="D513" s="263"/>
      <c r="E513" s="263"/>
      <c r="F513" s="263"/>
      <c r="G513" s="263"/>
      <c r="H513" s="263"/>
      <c r="I513" s="263"/>
      <c r="J513" s="97">
        <f aca="true" t="shared" si="17" ref="J513:J520">C513</f>
        <v>5.27</v>
      </c>
    </row>
    <row r="514" spans="1:10" ht="14.25">
      <c r="A514" s="43"/>
      <c r="B514" s="64" t="s">
        <v>615</v>
      </c>
      <c r="C514" s="44">
        <v>5.27</v>
      </c>
      <c r="D514" s="263"/>
      <c r="E514" s="263"/>
      <c r="F514" s="263"/>
      <c r="G514" s="263"/>
      <c r="H514" s="263"/>
      <c r="I514" s="263"/>
      <c r="J514" s="97">
        <f t="shared" si="17"/>
        <v>5.27</v>
      </c>
    </row>
    <row r="515" spans="1:10" ht="14.25">
      <c r="A515" s="43"/>
      <c r="B515" s="64" t="s">
        <v>301</v>
      </c>
      <c r="C515" s="44">
        <v>7.15</v>
      </c>
      <c r="D515" s="263"/>
      <c r="E515" s="263"/>
      <c r="F515" s="263"/>
      <c r="G515" s="263"/>
      <c r="H515" s="263"/>
      <c r="I515" s="263"/>
      <c r="J515" s="97">
        <f t="shared" si="17"/>
        <v>7.15</v>
      </c>
    </row>
    <row r="516" spans="1:10" ht="14.25">
      <c r="A516" s="43"/>
      <c r="B516" s="64" t="s">
        <v>616</v>
      </c>
      <c r="C516" s="44">
        <v>4.31</v>
      </c>
      <c r="D516" s="263"/>
      <c r="E516" s="263"/>
      <c r="F516" s="263"/>
      <c r="G516" s="263"/>
      <c r="H516" s="263"/>
      <c r="I516" s="263"/>
      <c r="J516" s="97">
        <f t="shared" si="17"/>
        <v>4.31</v>
      </c>
    </row>
    <row r="517" spans="1:10" ht="14.25">
      <c r="A517" s="43"/>
      <c r="B517" s="64" t="s">
        <v>617</v>
      </c>
      <c r="C517" s="44">
        <v>4.31</v>
      </c>
      <c r="D517" s="263"/>
      <c r="E517" s="263"/>
      <c r="F517" s="263"/>
      <c r="G517" s="263"/>
      <c r="H517" s="263"/>
      <c r="I517" s="263"/>
      <c r="J517" s="97">
        <f t="shared" si="17"/>
        <v>4.31</v>
      </c>
    </row>
    <row r="518" spans="1:10" ht="14.25">
      <c r="A518" s="43"/>
      <c r="B518" s="64" t="s">
        <v>618</v>
      </c>
      <c r="C518" s="44">
        <v>2.63</v>
      </c>
      <c r="D518" s="263"/>
      <c r="E518" s="263"/>
      <c r="F518" s="263"/>
      <c r="G518" s="263"/>
      <c r="H518" s="263"/>
      <c r="I518" s="263"/>
      <c r="J518" s="97">
        <f t="shared" si="17"/>
        <v>2.63</v>
      </c>
    </row>
    <row r="519" spans="1:10" ht="14.25">
      <c r="A519" s="43"/>
      <c r="B519" s="64" t="s">
        <v>615</v>
      </c>
      <c r="C519" s="44">
        <v>2.63</v>
      </c>
      <c r="D519" s="263"/>
      <c r="E519" s="263"/>
      <c r="F519" s="263"/>
      <c r="G519" s="263"/>
      <c r="H519" s="263"/>
      <c r="I519" s="263"/>
      <c r="J519" s="97">
        <f t="shared" si="17"/>
        <v>2.63</v>
      </c>
    </row>
    <row r="520" spans="1:10" ht="14.25">
      <c r="A520" s="43"/>
      <c r="B520" s="64" t="s">
        <v>687</v>
      </c>
      <c r="C520" s="44">
        <v>2.6</v>
      </c>
      <c r="D520" s="263"/>
      <c r="E520" s="263"/>
      <c r="F520" s="263"/>
      <c r="G520" s="263"/>
      <c r="H520" s="263"/>
      <c r="I520" s="263"/>
      <c r="J520" s="97">
        <f t="shared" si="17"/>
        <v>2.6</v>
      </c>
    </row>
    <row r="521" spans="1:10" ht="14.25">
      <c r="A521" s="43"/>
      <c r="B521" s="52"/>
      <c r="C521" s="50"/>
      <c r="D521" s="255"/>
      <c r="E521" s="255"/>
      <c r="F521" s="255"/>
      <c r="G521" s="255"/>
      <c r="H521" s="255"/>
      <c r="I521" s="256"/>
      <c r="J521" s="99"/>
    </row>
    <row r="522" spans="1:10" ht="15" thickBot="1">
      <c r="A522" s="81"/>
      <c r="B522" s="82"/>
      <c r="C522" s="83"/>
      <c r="D522" s="281"/>
      <c r="E522" s="281"/>
      <c r="F522" s="281"/>
      <c r="G522" s="281"/>
      <c r="H522" s="281"/>
      <c r="I522" s="282"/>
      <c r="J522" s="109"/>
    </row>
    <row r="523" spans="1:10" ht="38.25" customHeight="1">
      <c r="A523" s="487" t="s">
        <v>37</v>
      </c>
      <c r="B523" s="488" t="s">
        <v>311</v>
      </c>
      <c r="C523" s="245" t="s">
        <v>216</v>
      </c>
      <c r="D523" s="489" t="s">
        <v>208</v>
      </c>
      <c r="E523" s="489" t="s">
        <v>209</v>
      </c>
      <c r="F523" s="489" t="s">
        <v>210</v>
      </c>
      <c r="G523" s="489" t="s">
        <v>211</v>
      </c>
      <c r="H523" s="489" t="s">
        <v>212</v>
      </c>
      <c r="I523" s="489" t="s">
        <v>213</v>
      </c>
      <c r="J523" s="490">
        <f>SUM(J525:J548)</f>
        <v>317.9</v>
      </c>
    </row>
    <row r="524" spans="1:10" ht="14.25">
      <c r="A524" s="79"/>
      <c r="B524" s="64" t="s">
        <v>612</v>
      </c>
      <c r="C524" s="58"/>
      <c r="D524" s="265"/>
      <c r="E524" s="265"/>
      <c r="F524" s="265"/>
      <c r="G524" s="265"/>
      <c r="H524" s="265"/>
      <c r="I524" s="265"/>
      <c r="J524" s="102"/>
    </row>
    <row r="525" spans="1:10" ht="14.25">
      <c r="A525" s="80"/>
      <c r="B525" s="64" t="s">
        <v>613</v>
      </c>
      <c r="C525" s="50"/>
      <c r="D525" s="256"/>
      <c r="E525" s="256"/>
      <c r="F525" s="256"/>
      <c r="G525" s="256"/>
      <c r="H525" s="256"/>
      <c r="I525" s="256"/>
      <c r="J525" s="99"/>
    </row>
    <row r="526" spans="1:10" ht="14.25">
      <c r="A526" s="80"/>
      <c r="B526" s="49" t="s">
        <v>601</v>
      </c>
      <c r="C526" s="50">
        <v>8.24</v>
      </c>
      <c r="D526" s="255"/>
      <c r="E526" s="255"/>
      <c r="F526" s="255"/>
      <c r="G526" s="255"/>
      <c r="H526" s="255"/>
      <c r="I526" s="256"/>
      <c r="J526" s="97">
        <f>C526</f>
        <v>8.24</v>
      </c>
    </row>
    <row r="527" spans="1:10" ht="14.25">
      <c r="A527" s="43"/>
      <c r="B527" s="49" t="s">
        <v>602</v>
      </c>
      <c r="C527" s="50">
        <v>2.77</v>
      </c>
      <c r="D527" s="255"/>
      <c r="E527" s="255"/>
      <c r="F527" s="255"/>
      <c r="G527" s="255"/>
      <c r="H527" s="255"/>
      <c r="I527" s="256"/>
      <c r="J527" s="97">
        <f aca="true" t="shared" si="18" ref="J527:J536">C527</f>
        <v>2.77</v>
      </c>
    </row>
    <row r="528" spans="1:10" ht="14.25">
      <c r="A528" s="43"/>
      <c r="B528" s="49" t="s">
        <v>603</v>
      </c>
      <c r="C528" s="50">
        <v>7.25</v>
      </c>
      <c r="D528" s="255"/>
      <c r="E528" s="255"/>
      <c r="F528" s="255"/>
      <c r="G528" s="255"/>
      <c r="H528" s="255"/>
      <c r="I528" s="256"/>
      <c r="J528" s="97">
        <f t="shared" si="18"/>
        <v>7.25</v>
      </c>
    </row>
    <row r="529" spans="1:10" ht="14.25">
      <c r="A529" s="43"/>
      <c r="B529" s="49" t="s">
        <v>462</v>
      </c>
      <c r="C529" s="50">
        <v>7.25</v>
      </c>
      <c r="D529" s="255"/>
      <c r="E529" s="255"/>
      <c r="F529" s="255"/>
      <c r="G529" s="255"/>
      <c r="H529" s="255"/>
      <c r="I529" s="256"/>
      <c r="J529" s="97">
        <f t="shared" si="18"/>
        <v>7.25</v>
      </c>
    </row>
    <row r="530" spans="1:10" ht="14.25">
      <c r="A530" s="43"/>
      <c r="B530" s="49" t="s">
        <v>604</v>
      </c>
      <c r="C530" s="50">
        <v>9.23</v>
      </c>
      <c r="D530" s="255"/>
      <c r="E530" s="255"/>
      <c r="F530" s="255"/>
      <c r="G530" s="255"/>
      <c r="H530" s="255"/>
      <c r="I530" s="256"/>
      <c r="J530" s="97">
        <f t="shared" si="18"/>
        <v>9.23</v>
      </c>
    </row>
    <row r="531" spans="1:10" ht="14.25">
      <c r="A531" s="43"/>
      <c r="B531" s="49" t="s">
        <v>605</v>
      </c>
      <c r="C531" s="50">
        <v>1.58</v>
      </c>
      <c r="D531" s="255"/>
      <c r="E531" s="255"/>
      <c r="F531" s="255"/>
      <c r="G531" s="255"/>
      <c r="H531" s="255"/>
      <c r="I531" s="256"/>
      <c r="J531" s="97">
        <f t="shared" si="18"/>
        <v>1.58</v>
      </c>
    </row>
    <row r="532" spans="1:10" ht="14.25">
      <c r="A532" s="43"/>
      <c r="B532" s="49" t="s">
        <v>466</v>
      </c>
      <c r="C532" s="50">
        <v>6.13</v>
      </c>
      <c r="D532" s="255"/>
      <c r="E532" s="255"/>
      <c r="F532" s="255"/>
      <c r="G532" s="255"/>
      <c r="H532" s="255"/>
      <c r="I532" s="256"/>
      <c r="J532" s="97">
        <f t="shared" si="18"/>
        <v>6.13</v>
      </c>
    </row>
    <row r="533" spans="1:10" ht="14.25">
      <c r="A533" s="43"/>
      <c r="B533" s="49" t="s">
        <v>310</v>
      </c>
      <c r="C533" s="50">
        <v>3.24</v>
      </c>
      <c r="D533" s="255"/>
      <c r="E533" s="255"/>
      <c r="F533" s="255"/>
      <c r="G533" s="255"/>
      <c r="H533" s="255"/>
      <c r="I533" s="256"/>
      <c r="J533" s="97">
        <f t="shared" si="18"/>
        <v>3.24</v>
      </c>
    </row>
    <row r="534" spans="1:10" ht="14.25">
      <c r="A534" s="43"/>
      <c r="B534" s="49" t="s">
        <v>606</v>
      </c>
      <c r="C534" s="50">
        <v>40.73</v>
      </c>
      <c r="D534" s="255"/>
      <c r="E534" s="255"/>
      <c r="F534" s="255"/>
      <c r="G534" s="255"/>
      <c r="H534" s="255"/>
      <c r="I534" s="256"/>
      <c r="J534" s="97">
        <f t="shared" si="18"/>
        <v>40.73</v>
      </c>
    </row>
    <row r="535" spans="1:10" ht="14.25">
      <c r="A535" s="43"/>
      <c r="B535" s="49" t="s">
        <v>519</v>
      </c>
      <c r="C535" s="50">
        <v>10.83</v>
      </c>
      <c r="D535" s="255"/>
      <c r="E535" s="255"/>
      <c r="F535" s="255"/>
      <c r="G535" s="255"/>
      <c r="H535" s="255"/>
      <c r="I535" s="256"/>
      <c r="J535" s="97">
        <f t="shared" si="18"/>
        <v>10.83</v>
      </c>
    </row>
    <row r="536" spans="1:10" ht="14.25">
      <c r="A536" s="43"/>
      <c r="B536" s="49" t="s">
        <v>608</v>
      </c>
      <c r="C536" s="50">
        <v>6.35</v>
      </c>
      <c r="D536" s="255"/>
      <c r="E536" s="255"/>
      <c r="F536" s="255"/>
      <c r="G536" s="255"/>
      <c r="H536" s="255"/>
      <c r="I536" s="256"/>
      <c r="J536" s="97">
        <f t="shared" si="18"/>
        <v>6.35</v>
      </c>
    </row>
    <row r="537" spans="1:10" ht="14.25">
      <c r="A537" s="43"/>
      <c r="B537" s="64" t="s">
        <v>621</v>
      </c>
      <c r="C537" s="44"/>
      <c r="D537" s="263"/>
      <c r="E537" s="263"/>
      <c r="F537" s="263"/>
      <c r="G537" s="263"/>
      <c r="H537" s="263"/>
      <c r="I537" s="263"/>
      <c r="J537" s="97"/>
    </row>
    <row r="538" spans="1:10" ht="14.25">
      <c r="A538" s="43"/>
      <c r="B538" s="49" t="s">
        <v>607</v>
      </c>
      <c r="C538" s="50">
        <v>88.45</v>
      </c>
      <c r="D538" s="255"/>
      <c r="E538" s="255"/>
      <c r="F538" s="255"/>
      <c r="G538" s="255"/>
      <c r="H538" s="255"/>
      <c r="I538" s="256"/>
      <c r="J538" s="97">
        <f aca="true" t="shared" si="19" ref="J538:J543">C538</f>
        <v>88.45</v>
      </c>
    </row>
    <row r="539" spans="1:10" ht="14.25">
      <c r="A539" s="43"/>
      <c r="B539" s="49" t="s">
        <v>464</v>
      </c>
      <c r="C539" s="50">
        <v>27.21</v>
      </c>
      <c r="D539" s="255"/>
      <c r="E539" s="255"/>
      <c r="F539" s="255"/>
      <c r="G539" s="255"/>
      <c r="H539" s="255"/>
      <c r="I539" s="256"/>
      <c r="J539" s="97">
        <f t="shared" si="19"/>
        <v>27.21</v>
      </c>
    </row>
    <row r="540" spans="1:10" ht="14.25">
      <c r="A540" s="43"/>
      <c r="B540" s="49" t="s">
        <v>608</v>
      </c>
      <c r="C540" s="50">
        <v>6.35</v>
      </c>
      <c r="D540" s="255"/>
      <c r="E540" s="255"/>
      <c r="F540" s="255"/>
      <c r="G540" s="255"/>
      <c r="H540" s="255"/>
      <c r="I540" s="256"/>
      <c r="J540" s="97">
        <f t="shared" si="19"/>
        <v>6.35</v>
      </c>
    </row>
    <row r="541" spans="1:10" ht="14.25">
      <c r="A541" s="43"/>
      <c r="B541" s="49" t="s">
        <v>609</v>
      </c>
      <c r="C541" s="50">
        <v>10.93</v>
      </c>
      <c r="D541" s="255"/>
      <c r="E541" s="255"/>
      <c r="F541" s="255"/>
      <c r="G541" s="255"/>
      <c r="H541" s="255"/>
      <c r="I541" s="256"/>
      <c r="J541" s="97">
        <f t="shared" si="19"/>
        <v>10.93</v>
      </c>
    </row>
    <row r="542" spans="1:10" ht="14.25">
      <c r="A542" s="43"/>
      <c r="B542" s="49" t="s">
        <v>610</v>
      </c>
      <c r="C542" s="50">
        <v>10.17</v>
      </c>
      <c r="D542" s="255"/>
      <c r="E542" s="255"/>
      <c r="F542" s="255"/>
      <c r="G542" s="255"/>
      <c r="H542" s="255"/>
      <c r="I542" s="256"/>
      <c r="J542" s="97">
        <f t="shared" si="19"/>
        <v>10.17</v>
      </c>
    </row>
    <row r="543" spans="1:10" ht="14.25">
      <c r="A543" s="43"/>
      <c r="B543" s="49" t="s">
        <v>517</v>
      </c>
      <c r="C543" s="50">
        <v>9</v>
      </c>
      <c r="D543" s="255"/>
      <c r="E543" s="255"/>
      <c r="F543" s="255"/>
      <c r="G543" s="255"/>
      <c r="H543" s="255"/>
      <c r="I543" s="256"/>
      <c r="J543" s="97">
        <f t="shared" si="19"/>
        <v>9</v>
      </c>
    </row>
    <row r="544" spans="1:10" ht="14.25">
      <c r="A544" s="43"/>
      <c r="B544" s="49" t="s">
        <v>611</v>
      </c>
      <c r="C544" s="50">
        <v>16.87</v>
      </c>
      <c r="D544" s="255"/>
      <c r="E544" s="255"/>
      <c r="F544" s="255"/>
      <c r="G544" s="255"/>
      <c r="H544" s="255"/>
      <c r="I544" s="256"/>
      <c r="J544" s="97">
        <f>C544</f>
        <v>16.87</v>
      </c>
    </row>
    <row r="545" spans="1:10" ht="14.25">
      <c r="A545" s="43"/>
      <c r="B545" s="49" t="s">
        <v>620</v>
      </c>
      <c r="C545" s="50">
        <v>12.33</v>
      </c>
      <c r="D545" s="255"/>
      <c r="E545" s="255"/>
      <c r="F545" s="255"/>
      <c r="G545" s="255"/>
      <c r="H545" s="255"/>
      <c r="I545" s="256"/>
      <c r="J545" s="97">
        <f>C545</f>
        <v>12.33</v>
      </c>
    </row>
    <row r="546" spans="1:10" ht="14.25">
      <c r="A546" s="43"/>
      <c r="B546" s="49" t="s">
        <v>511</v>
      </c>
      <c r="C546" s="44">
        <v>11.07</v>
      </c>
      <c r="D546" s="255"/>
      <c r="E546" s="255"/>
      <c r="F546" s="255"/>
      <c r="G546" s="255"/>
      <c r="H546" s="255"/>
      <c r="I546" s="256"/>
      <c r="J546" s="97">
        <f>C546</f>
        <v>11.07</v>
      </c>
    </row>
    <row r="547" spans="1:10" ht="14.25">
      <c r="A547" s="43"/>
      <c r="B547" s="49" t="s">
        <v>631</v>
      </c>
      <c r="C547" s="44">
        <v>21.92</v>
      </c>
      <c r="D547" s="255"/>
      <c r="E547" s="255"/>
      <c r="F547" s="255"/>
      <c r="G547" s="255"/>
      <c r="H547" s="255"/>
      <c r="I547" s="256"/>
      <c r="J547" s="97">
        <f>C547</f>
        <v>21.92</v>
      </c>
    </row>
    <row r="548" spans="1:10" ht="14.25">
      <c r="A548" s="43"/>
      <c r="B548" s="52"/>
      <c r="C548" s="50"/>
      <c r="D548" s="255"/>
      <c r="E548" s="255"/>
      <c r="F548" s="255"/>
      <c r="G548" s="255"/>
      <c r="H548" s="255"/>
      <c r="I548" s="256"/>
      <c r="J548" s="99"/>
    </row>
    <row r="549" spans="1:10" ht="14.25">
      <c r="A549" s="53"/>
      <c r="B549" s="47"/>
      <c r="C549" s="54"/>
      <c r="D549" s="261"/>
      <c r="E549" s="261"/>
      <c r="F549" s="261"/>
      <c r="G549" s="261"/>
      <c r="H549" s="261"/>
      <c r="I549" s="262"/>
      <c r="J549" s="100"/>
    </row>
    <row r="550" spans="1:10" ht="42.75">
      <c r="A550" s="56" t="s">
        <v>77</v>
      </c>
      <c r="B550" s="34" t="s">
        <v>312</v>
      </c>
      <c r="C550" s="35" t="s">
        <v>220</v>
      </c>
      <c r="D550" s="260" t="s">
        <v>208</v>
      </c>
      <c r="E550" s="260" t="s">
        <v>209</v>
      </c>
      <c r="F550" s="260" t="s">
        <v>210</v>
      </c>
      <c r="G550" s="260" t="s">
        <v>211</v>
      </c>
      <c r="H550" s="260" t="s">
        <v>212</v>
      </c>
      <c r="I550" s="260" t="s">
        <v>213</v>
      </c>
      <c r="J550" s="85">
        <f>SUM(J552:J605)</f>
        <v>321.86</v>
      </c>
    </row>
    <row r="551" spans="1:10" ht="14.25">
      <c r="A551" s="79"/>
      <c r="B551" s="64" t="s">
        <v>454</v>
      </c>
      <c r="C551" s="58"/>
      <c r="D551" s="265"/>
      <c r="E551" s="265"/>
      <c r="F551" s="265"/>
      <c r="G551" s="265"/>
      <c r="H551" s="265"/>
      <c r="I551" s="265"/>
      <c r="J551" s="102"/>
    </row>
    <row r="552" spans="1:10" ht="14.25">
      <c r="A552" s="80"/>
      <c r="B552" s="49" t="s">
        <v>601</v>
      </c>
      <c r="C552" s="50"/>
      <c r="D552" s="256">
        <v>2</v>
      </c>
      <c r="E552" s="256">
        <v>2.9</v>
      </c>
      <c r="F552" s="256"/>
      <c r="G552" s="256"/>
      <c r="H552" s="256"/>
      <c r="I552" s="256"/>
      <c r="J552" s="99">
        <f>D552*E552</f>
        <v>5.8</v>
      </c>
    </row>
    <row r="553" spans="1:10" ht="14.25">
      <c r="A553" s="80"/>
      <c r="B553" s="49"/>
      <c r="C553" s="50"/>
      <c r="D553" s="256">
        <v>2</v>
      </c>
      <c r="E553" s="256"/>
      <c r="F553" s="256">
        <v>2.86</v>
      </c>
      <c r="G553" s="256"/>
      <c r="H553" s="256"/>
      <c r="I553" s="256"/>
      <c r="J553" s="99">
        <f>F553*D553</f>
        <v>5.72</v>
      </c>
    </row>
    <row r="554" spans="1:10" ht="14.25">
      <c r="A554" s="80"/>
      <c r="B554" s="49" t="s">
        <v>602</v>
      </c>
      <c r="C554" s="50"/>
      <c r="D554" s="263">
        <v>2</v>
      </c>
      <c r="E554" s="263">
        <v>2.86</v>
      </c>
      <c r="F554" s="256"/>
      <c r="G554" s="256"/>
      <c r="H554" s="256"/>
      <c r="I554" s="256"/>
      <c r="J554" s="99">
        <f>D554*E554</f>
        <v>5.72</v>
      </c>
    </row>
    <row r="555" spans="1:10" ht="14.25">
      <c r="A555" s="43"/>
      <c r="B555" s="49"/>
      <c r="C555" s="44"/>
      <c r="D555" s="263">
        <v>1</v>
      </c>
      <c r="E555" s="263"/>
      <c r="F555" s="263">
        <v>1</v>
      </c>
      <c r="G555" s="263"/>
      <c r="H555" s="263"/>
      <c r="I555" s="263"/>
      <c r="J555" s="99">
        <f>F555*D555</f>
        <v>1</v>
      </c>
    </row>
    <row r="556" spans="1:10" ht="14.25">
      <c r="A556" s="43"/>
      <c r="B556" s="64" t="s">
        <v>603</v>
      </c>
      <c r="C556" s="44"/>
      <c r="D556" s="263">
        <v>2</v>
      </c>
      <c r="E556" s="263">
        <v>4.2</v>
      </c>
      <c r="F556" s="263"/>
      <c r="G556" s="263"/>
      <c r="H556" s="263"/>
      <c r="I556" s="263"/>
      <c r="J556" s="99">
        <f>D556*E556</f>
        <v>8.4</v>
      </c>
    </row>
    <row r="557" spans="1:10" ht="14.25">
      <c r="A557" s="43"/>
      <c r="B557" s="49"/>
      <c r="C557" s="44"/>
      <c r="D557" s="263">
        <v>2</v>
      </c>
      <c r="E557" s="263"/>
      <c r="F557" s="263">
        <v>1.73</v>
      </c>
      <c r="G557" s="263"/>
      <c r="H557" s="263"/>
      <c r="I557" s="263"/>
      <c r="J557" s="99">
        <f>F557*D557</f>
        <v>3.46</v>
      </c>
    </row>
    <row r="558" spans="1:10" ht="14.25">
      <c r="A558" s="43"/>
      <c r="B558" s="49" t="s">
        <v>462</v>
      </c>
      <c r="C558" s="44"/>
      <c r="D558" s="263">
        <v>2</v>
      </c>
      <c r="E558" s="263">
        <v>4.2</v>
      </c>
      <c r="F558" s="263"/>
      <c r="G558" s="263"/>
      <c r="H558" s="263"/>
      <c r="I558" s="263"/>
      <c r="J558" s="99">
        <f>D558*E558</f>
        <v>8.4</v>
      </c>
    </row>
    <row r="559" spans="1:10" ht="14.25">
      <c r="A559" s="43"/>
      <c r="B559" s="49"/>
      <c r="C559" s="44"/>
      <c r="D559" s="263">
        <v>2</v>
      </c>
      <c r="E559" s="263"/>
      <c r="F559" s="263">
        <v>1.73</v>
      </c>
      <c r="G559" s="263"/>
      <c r="H559" s="263"/>
      <c r="I559" s="263"/>
      <c r="J559" s="99">
        <f>F559*D559</f>
        <v>3.46</v>
      </c>
    </row>
    <row r="560" spans="1:10" ht="14.25">
      <c r="A560" s="43"/>
      <c r="B560" s="49" t="s">
        <v>604</v>
      </c>
      <c r="C560" s="44"/>
      <c r="D560" s="263">
        <v>2</v>
      </c>
      <c r="E560" s="263">
        <v>2.84</v>
      </c>
      <c r="F560" s="263"/>
      <c r="G560" s="263"/>
      <c r="H560" s="263"/>
      <c r="I560" s="263"/>
      <c r="J560" s="99">
        <f>D560*E560</f>
        <v>5.68</v>
      </c>
    </row>
    <row r="561" spans="1:10" ht="14.25">
      <c r="A561" s="43"/>
      <c r="B561" s="49"/>
      <c r="C561" s="44"/>
      <c r="D561" s="263">
        <v>2</v>
      </c>
      <c r="E561" s="263"/>
      <c r="F561" s="263">
        <v>3.25</v>
      </c>
      <c r="G561" s="263"/>
      <c r="H561" s="263"/>
      <c r="I561" s="263"/>
      <c r="J561" s="99">
        <f>F561*D561</f>
        <v>6.5</v>
      </c>
    </row>
    <row r="562" spans="1:10" ht="14.25">
      <c r="A562" s="43"/>
      <c r="B562" s="49" t="s">
        <v>605</v>
      </c>
      <c r="C562" s="44"/>
      <c r="D562" s="263">
        <v>2</v>
      </c>
      <c r="E562" s="263">
        <v>3.44</v>
      </c>
      <c r="F562" s="263"/>
      <c r="G562" s="263"/>
      <c r="H562" s="263"/>
      <c r="I562" s="263"/>
      <c r="J562" s="99">
        <f>D562*E562</f>
        <v>6.88</v>
      </c>
    </row>
    <row r="563" spans="1:10" ht="14.25">
      <c r="A563" s="43"/>
      <c r="B563" s="49"/>
      <c r="C563" s="44"/>
      <c r="D563" s="263">
        <v>2</v>
      </c>
      <c r="E563" s="263"/>
      <c r="F563" s="263">
        <v>1.2</v>
      </c>
      <c r="G563" s="263"/>
      <c r="H563" s="263"/>
      <c r="I563" s="263"/>
      <c r="J563" s="99">
        <f>F563*D563</f>
        <v>2.4</v>
      </c>
    </row>
    <row r="564" spans="1:10" ht="14.25">
      <c r="A564" s="43"/>
      <c r="B564" s="49" t="s">
        <v>466</v>
      </c>
      <c r="C564" s="44"/>
      <c r="D564" s="263">
        <v>2</v>
      </c>
      <c r="E564" s="263">
        <v>2.85</v>
      </c>
      <c r="F564" s="263"/>
      <c r="G564" s="263"/>
      <c r="H564" s="263"/>
      <c r="I564" s="263"/>
      <c r="J564" s="99">
        <f>D564*E564</f>
        <v>5.7</v>
      </c>
    </row>
    <row r="565" spans="1:10" ht="14.25">
      <c r="A565" s="43"/>
      <c r="B565" s="49"/>
      <c r="C565" s="44"/>
      <c r="D565" s="263">
        <v>2</v>
      </c>
      <c r="E565" s="263"/>
      <c r="F565" s="263">
        <v>2.15</v>
      </c>
      <c r="G565" s="263"/>
      <c r="H565" s="263"/>
      <c r="I565" s="263"/>
      <c r="J565" s="99">
        <f>F565*D565</f>
        <v>4.3</v>
      </c>
    </row>
    <row r="566" spans="1:10" ht="14.25">
      <c r="A566" s="43"/>
      <c r="B566" s="49" t="s">
        <v>310</v>
      </c>
      <c r="C566" s="44"/>
      <c r="D566" s="263">
        <v>2</v>
      </c>
      <c r="E566" s="263">
        <v>2.85</v>
      </c>
      <c r="F566" s="263"/>
      <c r="G566" s="263"/>
      <c r="H566" s="263"/>
      <c r="I566" s="263"/>
      <c r="J566" s="99">
        <f>D566*E566</f>
        <v>5.7</v>
      </c>
    </row>
    <row r="567" spans="1:10" ht="14.25">
      <c r="A567" s="43"/>
      <c r="B567" s="49"/>
      <c r="C567" s="44"/>
      <c r="D567" s="263">
        <v>2</v>
      </c>
      <c r="E567" s="263"/>
      <c r="F567" s="263">
        <v>1.14</v>
      </c>
      <c r="G567" s="263"/>
      <c r="H567" s="263"/>
      <c r="I567" s="263"/>
      <c r="J567" s="99">
        <f>F567*D567</f>
        <v>2.28</v>
      </c>
    </row>
    <row r="568" spans="1:10" ht="14.25">
      <c r="A568" s="43"/>
      <c r="B568" s="49" t="s">
        <v>606</v>
      </c>
      <c r="C568" s="44"/>
      <c r="D568" s="263">
        <v>1</v>
      </c>
      <c r="E568" s="263">
        <v>10.94</v>
      </c>
      <c r="F568" s="263"/>
      <c r="G568" s="263"/>
      <c r="H568" s="263"/>
      <c r="I568" s="263"/>
      <c r="J568" s="99">
        <f aca="true" t="shared" si="20" ref="J568:J573">E568*D568</f>
        <v>10.94</v>
      </c>
    </row>
    <row r="569" spans="1:10" ht="14.25">
      <c r="A569" s="43"/>
      <c r="B569" s="49"/>
      <c r="C569" s="44"/>
      <c r="D569" s="263">
        <v>1</v>
      </c>
      <c r="E569" s="263">
        <v>2.2</v>
      </c>
      <c r="F569" s="263"/>
      <c r="G569" s="263"/>
      <c r="H569" s="263"/>
      <c r="I569" s="263"/>
      <c r="J569" s="99">
        <f t="shared" si="20"/>
        <v>2.2</v>
      </c>
    </row>
    <row r="570" spans="1:10" ht="14.25">
      <c r="A570" s="43"/>
      <c r="B570" s="49"/>
      <c r="C570" s="44"/>
      <c r="D570" s="263">
        <v>1</v>
      </c>
      <c r="E570" s="263">
        <v>4</v>
      </c>
      <c r="F570" s="263"/>
      <c r="G570" s="263"/>
      <c r="H570" s="263"/>
      <c r="I570" s="263"/>
      <c r="J570" s="99">
        <f t="shared" si="20"/>
        <v>4</v>
      </c>
    </row>
    <row r="571" spans="1:10" ht="14.25">
      <c r="A571" s="43"/>
      <c r="B571" s="49"/>
      <c r="C571" s="44"/>
      <c r="D571" s="263">
        <v>1</v>
      </c>
      <c r="E571" s="263">
        <v>16.3</v>
      </c>
      <c r="F571" s="263"/>
      <c r="G571" s="263"/>
      <c r="H571" s="263"/>
      <c r="I571" s="263"/>
      <c r="J571" s="99">
        <f t="shared" si="20"/>
        <v>16.3</v>
      </c>
    </row>
    <row r="572" spans="1:10" ht="14.25">
      <c r="A572" s="43"/>
      <c r="B572" s="49"/>
      <c r="C572" s="44"/>
      <c r="D572" s="263">
        <v>1</v>
      </c>
      <c r="E572" s="263">
        <v>7.1</v>
      </c>
      <c r="F572" s="263"/>
      <c r="G572" s="263"/>
      <c r="H572" s="263"/>
      <c r="I572" s="263"/>
      <c r="J572" s="99">
        <f t="shared" si="20"/>
        <v>7.1</v>
      </c>
    </row>
    <row r="573" spans="1:10" ht="14.25">
      <c r="A573" s="43"/>
      <c r="B573" s="49"/>
      <c r="C573" s="44"/>
      <c r="D573" s="263">
        <v>1</v>
      </c>
      <c r="E573" s="263">
        <v>10.21</v>
      </c>
      <c r="F573" s="263"/>
      <c r="G573" s="263"/>
      <c r="H573" s="263"/>
      <c r="I573" s="263"/>
      <c r="J573" s="99">
        <f t="shared" si="20"/>
        <v>10.21</v>
      </c>
    </row>
    <row r="574" spans="1:10" ht="14.25">
      <c r="A574" s="43"/>
      <c r="B574" s="49"/>
      <c r="C574" s="44"/>
      <c r="D574" s="263">
        <v>1</v>
      </c>
      <c r="E574" s="263"/>
      <c r="F574" s="263">
        <v>0.9</v>
      </c>
      <c r="G574" s="263"/>
      <c r="H574" s="263"/>
      <c r="I574" s="263"/>
      <c r="J574" s="99">
        <f>F574*D574</f>
        <v>0.9</v>
      </c>
    </row>
    <row r="575" spans="1:10" ht="14.25">
      <c r="A575" s="43"/>
      <c r="B575" s="49"/>
      <c r="C575" s="44"/>
      <c r="D575" s="263">
        <v>1</v>
      </c>
      <c r="E575" s="263"/>
      <c r="F575" s="263">
        <v>9.72</v>
      </c>
      <c r="G575" s="263"/>
      <c r="H575" s="263"/>
      <c r="I575" s="263"/>
      <c r="J575" s="99">
        <f>F575*D575</f>
        <v>9.72</v>
      </c>
    </row>
    <row r="576" spans="1:10" ht="14.25">
      <c r="A576" s="43"/>
      <c r="B576" s="49"/>
      <c r="C576" s="44"/>
      <c r="D576" s="263">
        <v>1</v>
      </c>
      <c r="E576" s="263"/>
      <c r="F576" s="263">
        <v>1.5</v>
      </c>
      <c r="G576" s="263"/>
      <c r="H576" s="263"/>
      <c r="I576" s="263"/>
      <c r="J576" s="99">
        <f>F576*D576</f>
        <v>1.5</v>
      </c>
    </row>
    <row r="577" spans="1:10" ht="14.25">
      <c r="A577" s="43"/>
      <c r="B577" s="49"/>
      <c r="C577" s="44"/>
      <c r="D577" s="263">
        <v>1</v>
      </c>
      <c r="E577" s="263"/>
      <c r="F577" s="263">
        <v>2.7</v>
      </c>
      <c r="G577" s="263"/>
      <c r="H577" s="263"/>
      <c r="I577" s="263"/>
      <c r="J577" s="99">
        <f>F577*D577</f>
        <v>2.7</v>
      </c>
    </row>
    <row r="578" spans="1:10" ht="14.25">
      <c r="A578" s="43"/>
      <c r="B578" s="49" t="s">
        <v>521</v>
      </c>
      <c r="C578" s="44"/>
      <c r="D578" s="263">
        <v>2</v>
      </c>
      <c r="E578" s="263">
        <v>3.45</v>
      </c>
      <c r="F578" s="263"/>
      <c r="G578" s="263"/>
      <c r="H578" s="263"/>
      <c r="I578" s="263"/>
      <c r="J578" s="99">
        <f>D578*E578</f>
        <v>6.9</v>
      </c>
    </row>
    <row r="579" spans="1:10" ht="14.25">
      <c r="A579" s="43"/>
      <c r="B579" s="49"/>
      <c r="C579" s="44"/>
      <c r="D579" s="263">
        <v>1</v>
      </c>
      <c r="E579" s="263"/>
      <c r="F579" s="263">
        <v>3.53</v>
      </c>
      <c r="G579" s="263"/>
      <c r="H579" s="263"/>
      <c r="I579" s="263"/>
      <c r="J579" s="99">
        <f>F579*D579</f>
        <v>3.53</v>
      </c>
    </row>
    <row r="580" spans="1:10" ht="14.25">
      <c r="A580" s="43"/>
      <c r="B580" s="49" t="s">
        <v>607</v>
      </c>
      <c r="C580" s="44"/>
      <c r="D580" s="263">
        <v>1</v>
      </c>
      <c r="E580" s="263">
        <v>15.93</v>
      </c>
      <c r="F580" s="263"/>
      <c r="G580" s="263"/>
      <c r="H580" s="263"/>
      <c r="I580" s="263"/>
      <c r="J580" s="99">
        <f aca="true" t="shared" si="21" ref="J580:J587">D580*E580</f>
        <v>15.93</v>
      </c>
    </row>
    <row r="581" spans="1:10" ht="14.25">
      <c r="A581" s="43"/>
      <c r="B581" s="49"/>
      <c r="C581" s="44"/>
      <c r="D581" s="263">
        <v>1</v>
      </c>
      <c r="E581" s="263">
        <v>7.37</v>
      </c>
      <c r="F581" s="263"/>
      <c r="G581" s="263"/>
      <c r="H581" s="263"/>
      <c r="I581" s="263"/>
      <c r="J581" s="99">
        <f t="shared" si="21"/>
        <v>7.37</v>
      </c>
    </row>
    <row r="582" spans="1:10" ht="14.25">
      <c r="A582" s="43"/>
      <c r="B582" s="49"/>
      <c r="C582" s="44"/>
      <c r="D582" s="263">
        <v>1</v>
      </c>
      <c r="E582" s="263">
        <v>3.31</v>
      </c>
      <c r="F582" s="263"/>
      <c r="G582" s="263"/>
      <c r="H582" s="263"/>
      <c r="I582" s="263"/>
      <c r="J582" s="99">
        <f t="shared" si="21"/>
        <v>3.31</v>
      </c>
    </row>
    <row r="583" spans="1:10" ht="14.25">
      <c r="A583" s="43"/>
      <c r="B583" s="49"/>
      <c r="C583" s="44"/>
      <c r="D583" s="263">
        <v>1</v>
      </c>
      <c r="E583" s="263">
        <v>3.48</v>
      </c>
      <c r="F583" s="263"/>
      <c r="G583" s="263"/>
      <c r="H583" s="263"/>
      <c r="I583" s="263"/>
      <c r="J583" s="99">
        <f t="shared" si="21"/>
        <v>3.48</v>
      </c>
    </row>
    <row r="584" spans="1:10" ht="14.25">
      <c r="A584" s="43"/>
      <c r="B584" s="49"/>
      <c r="C584" s="44"/>
      <c r="D584" s="263">
        <v>1</v>
      </c>
      <c r="E584" s="263">
        <v>1.14</v>
      </c>
      <c r="F584" s="263"/>
      <c r="G584" s="263"/>
      <c r="H584" s="263"/>
      <c r="I584" s="263"/>
      <c r="J584" s="99">
        <f t="shared" si="21"/>
        <v>1.14</v>
      </c>
    </row>
    <row r="585" spans="1:10" ht="14.25">
      <c r="A585" s="43"/>
      <c r="B585" s="49"/>
      <c r="C585" s="44"/>
      <c r="D585" s="263">
        <v>1</v>
      </c>
      <c r="E585" s="263">
        <v>0.29</v>
      </c>
      <c r="F585" s="263"/>
      <c r="G585" s="263"/>
      <c r="H585" s="263"/>
      <c r="I585" s="263"/>
      <c r="J585" s="99">
        <f t="shared" si="21"/>
        <v>0.29</v>
      </c>
    </row>
    <row r="586" spans="1:10" ht="14.25">
      <c r="A586" s="43"/>
      <c r="B586" s="49"/>
      <c r="C586" s="44"/>
      <c r="D586" s="263">
        <v>1</v>
      </c>
      <c r="E586" s="263">
        <v>2.75</v>
      </c>
      <c r="F586" s="263"/>
      <c r="G586" s="263"/>
      <c r="H586" s="263"/>
      <c r="I586" s="263"/>
      <c r="J586" s="99">
        <f t="shared" si="21"/>
        <v>2.75</v>
      </c>
    </row>
    <row r="587" spans="1:10" ht="14.25">
      <c r="A587" s="43"/>
      <c r="B587" s="49"/>
      <c r="C587" s="44"/>
      <c r="D587" s="263">
        <v>1</v>
      </c>
      <c r="E587" s="263">
        <v>3</v>
      </c>
      <c r="F587" s="263"/>
      <c r="G587" s="263"/>
      <c r="H587" s="263"/>
      <c r="I587" s="263"/>
      <c r="J587" s="99">
        <f t="shared" si="21"/>
        <v>3</v>
      </c>
    </row>
    <row r="588" spans="1:10" ht="14.25">
      <c r="A588" s="43"/>
      <c r="B588" s="49" t="s">
        <v>519</v>
      </c>
      <c r="C588" s="44"/>
      <c r="D588" s="263">
        <v>2</v>
      </c>
      <c r="E588" s="263">
        <v>3.97</v>
      </c>
      <c r="F588" s="263"/>
      <c r="G588" s="263"/>
      <c r="H588" s="263"/>
      <c r="I588" s="263"/>
      <c r="J588" s="99">
        <f>D588*E588</f>
        <v>7.94</v>
      </c>
    </row>
    <row r="589" spans="1:10" ht="14.25">
      <c r="A589" s="43"/>
      <c r="B589" s="49"/>
      <c r="C589" s="44"/>
      <c r="D589" s="263">
        <v>2</v>
      </c>
      <c r="E589" s="263"/>
      <c r="F589" s="263">
        <v>3.33</v>
      </c>
      <c r="G589" s="263"/>
      <c r="H589" s="263"/>
      <c r="I589" s="263"/>
      <c r="J589" s="99">
        <f>F589*D589</f>
        <v>6.66</v>
      </c>
    </row>
    <row r="590" spans="1:10" ht="14.25">
      <c r="A590" s="43"/>
      <c r="B590" s="49" t="s">
        <v>464</v>
      </c>
      <c r="C590" s="44"/>
      <c r="D590" s="263">
        <v>2</v>
      </c>
      <c r="E590" s="263">
        <v>3.47</v>
      </c>
      <c r="F590" s="263"/>
      <c r="G590" s="263"/>
      <c r="H590" s="263"/>
      <c r="I590" s="263"/>
      <c r="J590" s="99">
        <f>D590*E590</f>
        <v>6.94</v>
      </c>
    </row>
    <row r="591" spans="1:10" ht="14.25">
      <c r="A591" s="43"/>
      <c r="B591" s="49"/>
      <c r="C591" s="44"/>
      <c r="D591" s="263">
        <v>2</v>
      </c>
      <c r="E591" s="263"/>
      <c r="F591" s="263">
        <v>8.12</v>
      </c>
      <c r="G591" s="263"/>
      <c r="H591" s="263"/>
      <c r="I591" s="263"/>
      <c r="J591" s="99">
        <f>F591*D591</f>
        <v>16.24</v>
      </c>
    </row>
    <row r="592" spans="1:10" ht="14.25">
      <c r="A592" s="43"/>
      <c r="B592" s="49" t="s">
        <v>624</v>
      </c>
      <c r="C592" s="44"/>
      <c r="D592" s="263">
        <v>2</v>
      </c>
      <c r="E592" s="263">
        <v>2.26</v>
      </c>
      <c r="F592" s="263"/>
      <c r="G592" s="263"/>
      <c r="H592" s="263"/>
      <c r="I592" s="263"/>
      <c r="J592" s="99">
        <f>D592*E592</f>
        <v>4.52</v>
      </c>
    </row>
    <row r="593" spans="1:10" ht="14.25">
      <c r="A593" s="43"/>
      <c r="B593" s="49"/>
      <c r="C593" s="44"/>
      <c r="D593" s="263">
        <v>2</v>
      </c>
      <c r="E593" s="263"/>
      <c r="F593" s="263">
        <v>4.5</v>
      </c>
      <c r="G593" s="263"/>
      <c r="H593" s="263"/>
      <c r="I593" s="263"/>
      <c r="J593" s="99">
        <f>F593*D593</f>
        <v>9</v>
      </c>
    </row>
    <row r="594" spans="1:10" ht="14.25">
      <c r="A594" s="479"/>
      <c r="B594" s="49" t="s">
        <v>620</v>
      </c>
      <c r="C594" s="44"/>
      <c r="D594" s="263">
        <v>2</v>
      </c>
      <c r="E594" s="263">
        <f>3.47+0.5</f>
        <v>3.97</v>
      </c>
      <c r="F594" s="263"/>
      <c r="G594" s="263"/>
      <c r="H594" s="263"/>
      <c r="I594" s="263"/>
      <c r="J594" s="99">
        <f>D594*E594</f>
        <v>7.94</v>
      </c>
    </row>
    <row r="595" spans="1:10" ht="14.25">
      <c r="A595" s="43"/>
      <c r="B595" s="49"/>
      <c r="C595" s="44"/>
      <c r="D595" s="263">
        <v>2</v>
      </c>
      <c r="E595" s="263"/>
      <c r="F595" s="263">
        <v>3.41</v>
      </c>
      <c r="G595" s="263"/>
      <c r="H595" s="263"/>
      <c r="I595" s="263"/>
      <c r="J595" s="99">
        <f>F595*D595</f>
        <v>6.82</v>
      </c>
    </row>
    <row r="596" spans="1:10" ht="14.25">
      <c r="A596" s="43"/>
      <c r="B596" s="49" t="s">
        <v>517</v>
      </c>
      <c r="C596" s="44"/>
      <c r="D596" s="263">
        <v>2</v>
      </c>
      <c r="E596" s="263">
        <v>3.95</v>
      </c>
      <c r="F596" s="263"/>
      <c r="G596" s="263"/>
      <c r="H596" s="263"/>
      <c r="I596" s="263"/>
      <c r="J596" s="99">
        <f>D596*E596</f>
        <v>7.9</v>
      </c>
    </row>
    <row r="597" spans="1:10" ht="14.25">
      <c r="A597" s="43"/>
      <c r="B597" s="49"/>
      <c r="C597" s="44"/>
      <c r="D597" s="263">
        <v>2</v>
      </c>
      <c r="E597" s="263"/>
      <c r="F597" s="263">
        <v>2.28</v>
      </c>
      <c r="G597" s="263"/>
      <c r="H597" s="263"/>
      <c r="I597" s="263"/>
      <c r="J597" s="99">
        <f>F597*D597</f>
        <v>4.56</v>
      </c>
    </row>
    <row r="598" spans="1:10" ht="14.25">
      <c r="A598" s="43"/>
      <c r="B598" s="49" t="s">
        <v>611</v>
      </c>
      <c r="C598" s="44"/>
      <c r="D598" s="263">
        <v>2</v>
      </c>
      <c r="E598" s="263">
        <v>3.95</v>
      </c>
      <c r="F598" s="263"/>
      <c r="G598" s="263"/>
      <c r="H598" s="263"/>
      <c r="I598" s="263"/>
      <c r="J598" s="99">
        <f>D598*E598</f>
        <v>7.9</v>
      </c>
    </row>
    <row r="599" spans="1:10" ht="14.25">
      <c r="A599" s="43"/>
      <c r="B599" s="49"/>
      <c r="C599" s="44"/>
      <c r="D599" s="263">
        <v>2</v>
      </c>
      <c r="E599" s="263"/>
      <c r="F599" s="263">
        <v>4.27</v>
      </c>
      <c r="G599" s="263"/>
      <c r="H599" s="263"/>
      <c r="I599" s="263"/>
      <c r="J599" s="99">
        <f>F599*D599</f>
        <v>8.54</v>
      </c>
    </row>
    <row r="600" spans="1:10" ht="14.25">
      <c r="A600" s="479"/>
      <c r="B600" s="49" t="s">
        <v>511</v>
      </c>
      <c r="C600" s="44"/>
      <c r="D600" s="263">
        <v>2</v>
      </c>
      <c r="E600" s="263">
        <v>3.87</v>
      </c>
      <c r="F600" s="263"/>
      <c r="G600" s="263"/>
      <c r="H600" s="263"/>
      <c r="I600" s="263"/>
      <c r="J600" s="99">
        <f>D600*E600</f>
        <v>7.74</v>
      </c>
    </row>
    <row r="601" spans="1:10" ht="14.25">
      <c r="A601" s="43"/>
      <c r="B601" s="49"/>
      <c r="C601" s="44"/>
      <c r="D601" s="263">
        <v>2</v>
      </c>
      <c r="E601" s="263"/>
      <c r="F601" s="263">
        <v>2.86</v>
      </c>
      <c r="G601" s="263"/>
      <c r="H601" s="263"/>
      <c r="I601" s="263"/>
      <c r="J601" s="99">
        <f>F601*D601</f>
        <v>5.72</v>
      </c>
    </row>
    <row r="602" spans="1:10" ht="14.25">
      <c r="A602" s="43"/>
      <c r="B602" s="49" t="s">
        <v>631</v>
      </c>
      <c r="C602" s="44"/>
      <c r="D602" s="263">
        <v>1</v>
      </c>
      <c r="E602" s="263">
        <v>5.55</v>
      </c>
      <c r="F602" s="263"/>
      <c r="G602" s="263"/>
      <c r="H602" s="263"/>
      <c r="I602" s="263"/>
      <c r="J602" s="99">
        <f>D602*E602</f>
        <v>5.55</v>
      </c>
    </row>
    <row r="603" spans="1:10" ht="14.25">
      <c r="A603" s="43"/>
      <c r="B603" s="49"/>
      <c r="C603" s="44"/>
      <c r="D603" s="263">
        <v>2</v>
      </c>
      <c r="E603" s="263"/>
      <c r="F603" s="263">
        <v>4.51</v>
      </c>
      <c r="G603" s="263"/>
      <c r="H603" s="263"/>
      <c r="I603" s="263"/>
      <c r="J603" s="99">
        <f>F603*D603</f>
        <v>9.02</v>
      </c>
    </row>
    <row r="604" spans="1:10" ht="14.25">
      <c r="A604" s="43"/>
      <c r="B604" s="49"/>
      <c r="C604" s="44"/>
      <c r="D604" s="263">
        <v>1</v>
      </c>
      <c r="E604" s="263">
        <v>4.2</v>
      </c>
      <c r="F604" s="263"/>
      <c r="G604" s="263"/>
      <c r="H604" s="263"/>
      <c r="I604" s="263"/>
      <c r="J604" s="99">
        <f>D604*E604</f>
        <v>4.2</v>
      </c>
    </row>
    <row r="605" spans="1:10" ht="14.25">
      <c r="A605" s="43"/>
      <c r="B605" s="52"/>
      <c r="C605" s="50"/>
      <c r="D605" s="255"/>
      <c r="E605" s="255"/>
      <c r="F605" s="255"/>
      <c r="G605" s="255"/>
      <c r="H605" s="255"/>
      <c r="I605" s="256"/>
      <c r="J605" s="99"/>
    </row>
    <row r="606" spans="1:10" ht="14.25">
      <c r="A606" s="53"/>
      <c r="B606" s="47"/>
      <c r="C606" s="54"/>
      <c r="D606" s="261"/>
      <c r="E606" s="261"/>
      <c r="F606" s="261"/>
      <c r="G606" s="261"/>
      <c r="H606" s="261"/>
      <c r="I606" s="262"/>
      <c r="J606" s="100"/>
    </row>
    <row r="607" spans="1:10" ht="57">
      <c r="A607" s="56" t="s">
        <v>646</v>
      </c>
      <c r="B607" s="34" t="s">
        <v>708</v>
      </c>
      <c r="C607" s="35" t="s">
        <v>216</v>
      </c>
      <c r="D607" s="260" t="s">
        <v>208</v>
      </c>
      <c r="E607" s="260" t="s">
        <v>209</v>
      </c>
      <c r="F607" s="260" t="s">
        <v>210</v>
      </c>
      <c r="G607" s="260" t="s">
        <v>211</v>
      </c>
      <c r="H607" s="260" t="s">
        <v>212</v>
      </c>
      <c r="I607" s="260" t="s">
        <v>213</v>
      </c>
      <c r="J607" s="85">
        <f>SUM(J608:J609)</f>
        <v>68.09</v>
      </c>
    </row>
    <row r="608" spans="1:10" ht="14.25">
      <c r="A608" s="43"/>
      <c r="B608" s="49" t="s">
        <v>709</v>
      </c>
      <c r="C608" s="50"/>
      <c r="D608" s="256"/>
      <c r="E608" s="256">
        <v>17.02</v>
      </c>
      <c r="F608" s="256">
        <v>2.2</v>
      </c>
      <c r="G608" s="256"/>
      <c r="H608" s="256"/>
      <c r="I608" s="256"/>
      <c r="J608" s="99">
        <f>E608*F608</f>
        <v>37.44</v>
      </c>
    </row>
    <row r="609" spans="1:10" ht="14.25">
      <c r="A609" s="43"/>
      <c r="B609" s="49" t="s">
        <v>710</v>
      </c>
      <c r="C609" s="50"/>
      <c r="D609" s="255"/>
      <c r="E609" s="255">
        <v>25.54</v>
      </c>
      <c r="F609" s="255">
        <v>1.2</v>
      </c>
      <c r="G609" s="255"/>
      <c r="H609" s="255"/>
      <c r="I609" s="256"/>
      <c r="J609" s="99">
        <f>E609*F609</f>
        <v>30.65</v>
      </c>
    </row>
    <row r="610" spans="1:10" ht="14.25">
      <c r="A610" s="53"/>
      <c r="B610" s="47"/>
      <c r="C610" s="54"/>
      <c r="D610" s="261"/>
      <c r="E610" s="261"/>
      <c r="F610" s="261"/>
      <c r="G610" s="261"/>
      <c r="H610" s="261"/>
      <c r="I610" s="262"/>
      <c r="J610" s="100"/>
    </row>
    <row r="611" spans="1:10" ht="15">
      <c r="A611" s="48" t="s">
        <v>72</v>
      </c>
      <c r="B611" s="62" t="s">
        <v>35</v>
      </c>
      <c r="C611" s="63"/>
      <c r="D611" s="266"/>
      <c r="E611" s="266"/>
      <c r="F611" s="266"/>
      <c r="G611" s="266"/>
      <c r="H611" s="266"/>
      <c r="I611" s="266"/>
      <c r="J611" s="103"/>
    </row>
    <row r="612" spans="1:10" ht="28.5">
      <c r="A612" s="56"/>
      <c r="B612" s="34" t="s">
        <v>319</v>
      </c>
      <c r="C612" s="35"/>
      <c r="D612" s="260" t="s">
        <v>208</v>
      </c>
      <c r="E612" s="260" t="s">
        <v>209</v>
      </c>
      <c r="F612" s="260" t="s">
        <v>210</v>
      </c>
      <c r="G612" s="260" t="s">
        <v>211</v>
      </c>
      <c r="H612" s="260" t="s">
        <v>212</v>
      </c>
      <c r="I612" s="260" t="s">
        <v>213</v>
      </c>
      <c r="J612" s="85" t="s">
        <v>183</v>
      </c>
    </row>
    <row r="613" spans="1:10" ht="38.25">
      <c r="A613" s="426" t="s">
        <v>155</v>
      </c>
      <c r="B613" s="427" t="s">
        <v>527</v>
      </c>
      <c r="C613" s="415" t="s">
        <v>23</v>
      </c>
      <c r="D613" s="446">
        <v>3000</v>
      </c>
      <c r="E613" s="265"/>
      <c r="F613" s="256"/>
      <c r="G613" s="256"/>
      <c r="H613" s="256"/>
      <c r="I613" s="256"/>
      <c r="J613" s="99">
        <f>D613</f>
        <v>3000</v>
      </c>
    </row>
    <row r="614" spans="1:10" ht="38.25">
      <c r="A614" s="424" t="s">
        <v>156</v>
      </c>
      <c r="B614" s="428" t="s">
        <v>528</v>
      </c>
      <c r="C614" s="112" t="s">
        <v>23</v>
      </c>
      <c r="D614" s="447">
        <v>2000</v>
      </c>
      <c r="E614" s="256"/>
      <c r="F614" s="256"/>
      <c r="G614" s="256"/>
      <c r="H614" s="256"/>
      <c r="I614" s="256"/>
      <c r="J614" s="99">
        <f aca="true" t="shared" si="22" ref="J614:J639">D614</f>
        <v>2000</v>
      </c>
    </row>
    <row r="615" spans="1:10" ht="38.25">
      <c r="A615" s="424" t="s">
        <v>157</v>
      </c>
      <c r="B615" s="428" t="s">
        <v>529</v>
      </c>
      <c r="C615" s="112" t="s">
        <v>29</v>
      </c>
      <c r="D615" s="447">
        <v>300</v>
      </c>
      <c r="E615" s="256"/>
      <c r="F615" s="256"/>
      <c r="G615" s="256"/>
      <c r="H615" s="256"/>
      <c r="I615" s="256"/>
      <c r="J615" s="99">
        <f t="shared" si="22"/>
        <v>300</v>
      </c>
    </row>
    <row r="616" spans="1:10" ht="38.25">
      <c r="A616" s="424" t="s">
        <v>158</v>
      </c>
      <c r="B616" s="428" t="s">
        <v>530</v>
      </c>
      <c r="C616" s="112" t="s">
        <v>29</v>
      </c>
      <c r="D616" s="447">
        <v>440</v>
      </c>
      <c r="E616" s="256"/>
      <c r="F616" s="256"/>
      <c r="G616" s="256"/>
      <c r="H616" s="256"/>
      <c r="I616" s="256"/>
      <c r="J616" s="99">
        <f t="shared" si="22"/>
        <v>440</v>
      </c>
    </row>
    <row r="617" spans="1:10" ht="14.25">
      <c r="A617" s="424" t="s">
        <v>159</v>
      </c>
      <c r="B617" s="428" t="s">
        <v>128</v>
      </c>
      <c r="C617" s="112" t="s">
        <v>29</v>
      </c>
      <c r="D617" s="447">
        <v>13</v>
      </c>
      <c r="E617" s="256"/>
      <c r="F617" s="256"/>
      <c r="G617" s="256"/>
      <c r="H617" s="256"/>
      <c r="I617" s="256"/>
      <c r="J617" s="99">
        <f t="shared" si="22"/>
        <v>13</v>
      </c>
    </row>
    <row r="618" spans="1:10" ht="14.25">
      <c r="A618" s="424" t="s">
        <v>160</v>
      </c>
      <c r="B618" s="428" t="s">
        <v>531</v>
      </c>
      <c r="C618" s="112" t="s">
        <v>29</v>
      </c>
      <c r="D618" s="447">
        <v>16</v>
      </c>
      <c r="E618" s="256"/>
      <c r="F618" s="256"/>
      <c r="G618" s="256"/>
      <c r="H618" s="256"/>
      <c r="I618" s="256"/>
      <c r="J618" s="99">
        <f t="shared" si="22"/>
        <v>16</v>
      </c>
    </row>
    <row r="619" spans="1:10" ht="14.25">
      <c r="A619" s="424" t="s">
        <v>161</v>
      </c>
      <c r="B619" s="428" t="s">
        <v>580</v>
      </c>
      <c r="C619" s="112" t="s">
        <v>29</v>
      </c>
      <c r="D619" s="447">
        <v>2</v>
      </c>
      <c r="E619" s="256"/>
      <c r="F619" s="256"/>
      <c r="G619" s="256"/>
      <c r="H619" s="256"/>
      <c r="I619" s="256"/>
      <c r="J619" s="99">
        <f t="shared" si="22"/>
        <v>2</v>
      </c>
    </row>
    <row r="620" spans="1:10" ht="25.5">
      <c r="A620" s="424" t="s">
        <v>162</v>
      </c>
      <c r="B620" s="428" t="s">
        <v>532</v>
      </c>
      <c r="C620" s="112" t="s">
        <v>29</v>
      </c>
      <c r="D620" s="447">
        <v>2</v>
      </c>
      <c r="E620" s="256"/>
      <c r="F620" s="256"/>
      <c r="G620" s="256"/>
      <c r="H620" s="256"/>
      <c r="I620" s="256"/>
      <c r="J620" s="99">
        <f t="shared" si="22"/>
        <v>2</v>
      </c>
    </row>
    <row r="621" spans="1:10" ht="25.5">
      <c r="A621" s="424" t="s">
        <v>163</v>
      </c>
      <c r="B621" s="428" t="s">
        <v>533</v>
      </c>
      <c r="C621" s="112" t="s">
        <v>29</v>
      </c>
      <c r="D621" s="447">
        <v>4</v>
      </c>
      <c r="E621" s="256"/>
      <c r="F621" s="256"/>
      <c r="G621" s="256"/>
      <c r="H621" s="256"/>
      <c r="I621" s="256"/>
      <c r="J621" s="99">
        <f t="shared" si="22"/>
        <v>4</v>
      </c>
    </row>
    <row r="622" spans="1:10" ht="25.5">
      <c r="A622" s="424" t="s">
        <v>164</v>
      </c>
      <c r="B622" s="428" t="s">
        <v>534</v>
      </c>
      <c r="C622" s="112" t="s">
        <v>29</v>
      </c>
      <c r="D622" s="447">
        <v>2</v>
      </c>
      <c r="E622" s="256"/>
      <c r="F622" s="256"/>
      <c r="G622" s="256"/>
      <c r="H622" s="256"/>
      <c r="I622" s="256"/>
      <c r="J622" s="99">
        <f t="shared" si="22"/>
        <v>2</v>
      </c>
    </row>
    <row r="623" spans="1:10" ht="14.25">
      <c r="A623" s="424" t="s">
        <v>165</v>
      </c>
      <c r="B623" s="428" t="s">
        <v>535</v>
      </c>
      <c r="C623" s="112" t="s">
        <v>23</v>
      </c>
      <c r="D623" s="447">
        <v>800</v>
      </c>
      <c r="E623" s="256"/>
      <c r="F623" s="256"/>
      <c r="G623" s="256"/>
      <c r="H623" s="256"/>
      <c r="I623" s="256"/>
      <c r="J623" s="99">
        <f t="shared" si="22"/>
        <v>800</v>
      </c>
    </row>
    <row r="624" spans="1:10" ht="38.25">
      <c r="A624" s="424" t="s">
        <v>166</v>
      </c>
      <c r="B624" s="428" t="s">
        <v>536</v>
      </c>
      <c r="C624" s="112" t="s">
        <v>23</v>
      </c>
      <c r="D624" s="447">
        <v>420</v>
      </c>
      <c r="E624" s="256"/>
      <c r="F624" s="256"/>
      <c r="G624" s="256"/>
      <c r="H624" s="256"/>
      <c r="I624" s="256"/>
      <c r="J624" s="99">
        <f t="shared" si="22"/>
        <v>420</v>
      </c>
    </row>
    <row r="625" spans="1:10" ht="25.5">
      <c r="A625" s="424" t="s">
        <v>167</v>
      </c>
      <c r="B625" s="428" t="s">
        <v>537</v>
      </c>
      <c r="C625" s="112" t="s">
        <v>29</v>
      </c>
      <c r="D625" s="447">
        <v>50</v>
      </c>
      <c r="E625" s="256"/>
      <c r="F625" s="256"/>
      <c r="G625" s="256"/>
      <c r="H625" s="256"/>
      <c r="I625" s="256"/>
      <c r="J625" s="99">
        <f t="shared" si="22"/>
        <v>50</v>
      </c>
    </row>
    <row r="626" spans="1:10" ht="25.5">
      <c r="A626" s="424" t="s">
        <v>168</v>
      </c>
      <c r="B626" s="428" t="s">
        <v>538</v>
      </c>
      <c r="C626" s="112" t="s">
        <v>29</v>
      </c>
      <c r="D626" s="447">
        <v>60</v>
      </c>
      <c r="E626" s="256"/>
      <c r="F626" s="256"/>
      <c r="G626" s="256"/>
      <c r="H626" s="256"/>
      <c r="I626" s="256"/>
      <c r="J626" s="99">
        <f t="shared" si="22"/>
        <v>60</v>
      </c>
    </row>
    <row r="627" spans="1:10" ht="25.5">
      <c r="A627" s="424" t="s">
        <v>169</v>
      </c>
      <c r="B627" s="428" t="s">
        <v>539</v>
      </c>
      <c r="C627" s="112" t="s">
        <v>29</v>
      </c>
      <c r="D627" s="447">
        <v>100</v>
      </c>
      <c r="E627" s="256"/>
      <c r="F627" s="256"/>
      <c r="G627" s="256"/>
      <c r="H627" s="256"/>
      <c r="I627" s="256"/>
      <c r="J627" s="99">
        <f t="shared" si="22"/>
        <v>100</v>
      </c>
    </row>
    <row r="628" spans="1:10" ht="25.5">
      <c r="A628" s="424" t="s">
        <v>170</v>
      </c>
      <c r="B628" s="428" t="s">
        <v>581</v>
      </c>
      <c r="C628" s="112" t="s">
        <v>29</v>
      </c>
      <c r="D628" s="447">
        <v>10</v>
      </c>
      <c r="E628" s="256"/>
      <c r="F628" s="256"/>
      <c r="G628" s="256"/>
      <c r="H628" s="256"/>
      <c r="I628" s="256"/>
      <c r="J628" s="99">
        <f t="shared" si="22"/>
        <v>10</v>
      </c>
    </row>
    <row r="629" spans="1:10" ht="25.5">
      <c r="A629" s="424" t="s">
        <v>171</v>
      </c>
      <c r="B629" s="428" t="s">
        <v>582</v>
      </c>
      <c r="C629" s="112" t="s">
        <v>29</v>
      </c>
      <c r="D629" s="447">
        <v>10</v>
      </c>
      <c r="E629" s="256"/>
      <c r="F629" s="256"/>
      <c r="G629" s="256"/>
      <c r="H629" s="256"/>
      <c r="I629" s="256"/>
      <c r="J629" s="99">
        <f t="shared" si="22"/>
        <v>10</v>
      </c>
    </row>
    <row r="630" spans="1:10" ht="25.5">
      <c r="A630" s="424" t="s">
        <v>172</v>
      </c>
      <c r="B630" s="428" t="s">
        <v>583</v>
      </c>
      <c r="C630" s="112" t="s">
        <v>29</v>
      </c>
      <c r="D630" s="447">
        <v>25</v>
      </c>
      <c r="E630" s="256"/>
      <c r="F630" s="256"/>
      <c r="G630" s="256"/>
      <c r="H630" s="256"/>
      <c r="I630" s="256"/>
      <c r="J630" s="99">
        <f t="shared" si="22"/>
        <v>25</v>
      </c>
    </row>
    <row r="631" spans="1:10" ht="14.25">
      <c r="A631" s="424" t="s">
        <v>173</v>
      </c>
      <c r="B631" s="428" t="s">
        <v>584</v>
      </c>
      <c r="C631" s="112" t="s">
        <v>29</v>
      </c>
      <c r="D631" s="447">
        <v>70</v>
      </c>
      <c r="E631" s="256"/>
      <c r="F631" s="256"/>
      <c r="G631" s="256"/>
      <c r="H631" s="256"/>
      <c r="I631" s="256"/>
      <c r="J631" s="99">
        <f t="shared" si="22"/>
        <v>70</v>
      </c>
    </row>
    <row r="632" spans="1:10" ht="25.5">
      <c r="A632" s="424" t="s">
        <v>174</v>
      </c>
      <c r="B632" s="428" t="s">
        <v>585</v>
      </c>
      <c r="C632" s="112" t="s">
        <v>29</v>
      </c>
      <c r="D632" s="447">
        <v>3</v>
      </c>
      <c r="E632" s="256"/>
      <c r="F632" s="256"/>
      <c r="G632" s="256"/>
      <c r="H632" s="256"/>
      <c r="I632" s="256"/>
      <c r="J632" s="99">
        <f t="shared" si="22"/>
        <v>3</v>
      </c>
    </row>
    <row r="633" spans="1:10" ht="38.25">
      <c r="A633" s="424" t="s">
        <v>175</v>
      </c>
      <c r="B633" s="428" t="s">
        <v>129</v>
      </c>
      <c r="C633" s="112" t="s">
        <v>29</v>
      </c>
      <c r="D633" s="447">
        <v>4</v>
      </c>
      <c r="E633" s="256"/>
      <c r="F633" s="256"/>
      <c r="G633" s="256"/>
      <c r="H633" s="256"/>
      <c r="I633" s="256"/>
      <c r="J633" s="99">
        <f t="shared" si="22"/>
        <v>4</v>
      </c>
    </row>
    <row r="634" spans="1:10" ht="25.5">
      <c r="A634" s="424" t="s">
        <v>176</v>
      </c>
      <c r="B634" s="417" t="s">
        <v>130</v>
      </c>
      <c r="C634" s="112" t="s">
        <v>29</v>
      </c>
      <c r="D634" s="447">
        <v>2</v>
      </c>
      <c r="E634" s="256"/>
      <c r="F634" s="256"/>
      <c r="G634" s="256"/>
      <c r="H634" s="256"/>
      <c r="I634" s="256"/>
      <c r="J634" s="99">
        <f t="shared" si="22"/>
        <v>2</v>
      </c>
    </row>
    <row r="635" spans="1:10" ht="14.25">
      <c r="A635" s="424" t="s">
        <v>177</v>
      </c>
      <c r="B635" s="417" t="s">
        <v>131</v>
      </c>
      <c r="C635" s="112" t="s">
        <v>29</v>
      </c>
      <c r="D635" s="447">
        <v>9</v>
      </c>
      <c r="E635" s="256"/>
      <c r="F635" s="256"/>
      <c r="G635" s="256"/>
      <c r="H635" s="256"/>
      <c r="I635" s="256"/>
      <c r="J635" s="99">
        <f t="shared" si="22"/>
        <v>9</v>
      </c>
    </row>
    <row r="636" spans="1:10" ht="25.5">
      <c r="A636" s="424" t="s">
        <v>178</v>
      </c>
      <c r="B636" s="417" t="s">
        <v>132</v>
      </c>
      <c r="C636" s="112" t="s">
        <v>29</v>
      </c>
      <c r="D636" s="447">
        <v>9</v>
      </c>
      <c r="E636" s="256"/>
      <c r="F636" s="256"/>
      <c r="G636" s="256"/>
      <c r="H636" s="256"/>
      <c r="I636" s="256"/>
      <c r="J636" s="99">
        <f t="shared" si="22"/>
        <v>9</v>
      </c>
    </row>
    <row r="637" spans="1:10" ht="38.25">
      <c r="A637" s="424" t="s">
        <v>179</v>
      </c>
      <c r="B637" s="417" t="s">
        <v>586</v>
      </c>
      <c r="C637" s="112" t="s">
        <v>23</v>
      </c>
      <c r="D637" s="447">
        <v>130</v>
      </c>
      <c r="E637" s="256"/>
      <c r="F637" s="256"/>
      <c r="G637" s="256"/>
      <c r="H637" s="256"/>
      <c r="I637" s="256"/>
      <c r="J637" s="99">
        <f t="shared" si="22"/>
        <v>130</v>
      </c>
    </row>
    <row r="638" spans="1:10" ht="38.25">
      <c r="A638" s="424" t="s">
        <v>180</v>
      </c>
      <c r="B638" s="417" t="s">
        <v>587</v>
      </c>
      <c r="C638" s="112" t="s">
        <v>23</v>
      </c>
      <c r="D638" s="447">
        <v>50</v>
      </c>
      <c r="E638" s="256"/>
      <c r="F638" s="256"/>
      <c r="G638" s="256"/>
      <c r="H638" s="256"/>
      <c r="I638" s="256"/>
      <c r="J638" s="99">
        <f t="shared" si="22"/>
        <v>50</v>
      </c>
    </row>
    <row r="639" spans="1:10" ht="38.25">
      <c r="A639" s="424" t="s">
        <v>181</v>
      </c>
      <c r="B639" s="419" t="s">
        <v>133</v>
      </c>
      <c r="C639" s="429" t="s">
        <v>29</v>
      </c>
      <c r="D639" s="448">
        <v>3</v>
      </c>
      <c r="E639" s="256"/>
      <c r="F639" s="256"/>
      <c r="G639" s="256"/>
      <c r="H639" s="256"/>
      <c r="I639" s="256"/>
      <c r="J639" s="99">
        <f t="shared" si="22"/>
        <v>3</v>
      </c>
    </row>
    <row r="640" spans="1:10" ht="15" thickBot="1">
      <c r="A640" s="292"/>
      <c r="B640" s="491"/>
      <c r="C640" s="492"/>
      <c r="D640" s="493"/>
      <c r="E640" s="268"/>
      <c r="F640" s="268"/>
      <c r="G640" s="268"/>
      <c r="H640" s="268"/>
      <c r="I640" s="268"/>
      <c r="J640" s="106"/>
    </row>
    <row r="641" spans="1:10" ht="15" thickBot="1">
      <c r="A641" s="499"/>
      <c r="B641" s="500"/>
      <c r="C641" s="501"/>
      <c r="D641" s="502"/>
      <c r="E641" s="502"/>
      <c r="F641" s="502"/>
      <c r="G641" s="502"/>
      <c r="H641" s="502"/>
      <c r="I641" s="503"/>
      <c r="J641" s="504"/>
    </row>
    <row r="642" spans="1:10" ht="15">
      <c r="A642" s="494" t="s">
        <v>73</v>
      </c>
      <c r="B642" s="495" t="s">
        <v>632</v>
      </c>
      <c r="C642" s="496"/>
      <c r="D642" s="497"/>
      <c r="E642" s="497"/>
      <c r="F642" s="497"/>
      <c r="G642" s="497"/>
      <c r="H642" s="497"/>
      <c r="I642" s="497"/>
      <c r="J642" s="498"/>
    </row>
    <row r="643" spans="1:12" ht="15">
      <c r="A643" s="33"/>
      <c r="B643" s="34" t="s">
        <v>633</v>
      </c>
      <c r="C643" s="35"/>
      <c r="D643" s="260" t="s">
        <v>208</v>
      </c>
      <c r="E643" s="260" t="s">
        <v>209</v>
      </c>
      <c r="F643" s="260" t="s">
        <v>210</v>
      </c>
      <c r="G643" s="260" t="s">
        <v>211</v>
      </c>
      <c r="H643" s="260" t="s">
        <v>212</v>
      </c>
      <c r="I643" s="260" t="s">
        <v>213</v>
      </c>
      <c r="J643" s="85" t="s">
        <v>183</v>
      </c>
      <c r="L643" s="38">
        <f>660</f>
        <v>660</v>
      </c>
    </row>
    <row r="644" spans="1:12" ht="14.25">
      <c r="A644" s="291" t="s">
        <v>313</v>
      </c>
      <c r="B644" s="414" t="s">
        <v>589</v>
      </c>
      <c r="C644" s="415" t="s">
        <v>29</v>
      </c>
      <c r="D644" s="416">
        <v>500</v>
      </c>
      <c r="E644" s="265"/>
      <c r="F644" s="265"/>
      <c r="G644" s="265"/>
      <c r="H644" s="265"/>
      <c r="I644" s="265"/>
      <c r="J644" s="99">
        <f aca="true" t="shared" si="23" ref="J644:J649">D644</f>
        <v>500</v>
      </c>
      <c r="L644" s="38">
        <f>L643*2</f>
        <v>1320</v>
      </c>
    </row>
    <row r="645" spans="1:10" ht="14.25">
      <c r="A645" s="292" t="s">
        <v>314</v>
      </c>
      <c r="B645" s="417" t="s">
        <v>590</v>
      </c>
      <c r="C645" s="112" t="s">
        <v>29</v>
      </c>
      <c r="D645" s="418">
        <v>30</v>
      </c>
      <c r="E645" s="263"/>
      <c r="F645" s="263"/>
      <c r="G645" s="263"/>
      <c r="H645" s="263"/>
      <c r="I645" s="263"/>
      <c r="J645" s="99">
        <f t="shared" si="23"/>
        <v>30</v>
      </c>
    </row>
    <row r="646" spans="1:10" ht="25.5">
      <c r="A646" s="292" t="s">
        <v>315</v>
      </c>
      <c r="B646" s="417" t="s">
        <v>591</v>
      </c>
      <c r="C646" s="112" t="s">
        <v>29</v>
      </c>
      <c r="D646" s="418">
        <v>20</v>
      </c>
      <c r="E646" s="263"/>
      <c r="F646" s="263"/>
      <c r="G646" s="263"/>
      <c r="H646" s="263"/>
      <c r="I646" s="263"/>
      <c r="J646" s="99">
        <f t="shared" si="23"/>
        <v>20</v>
      </c>
    </row>
    <row r="647" spans="1:10" ht="14.25">
      <c r="A647" s="292" t="s">
        <v>316</v>
      </c>
      <c r="B647" s="417" t="s">
        <v>592</v>
      </c>
      <c r="C647" s="112" t="s">
        <v>29</v>
      </c>
      <c r="D647" s="418">
        <v>50</v>
      </c>
      <c r="E647" s="263"/>
      <c r="F647" s="263"/>
      <c r="G647" s="263"/>
      <c r="H647" s="263"/>
      <c r="I647" s="263"/>
      <c r="J647" s="99">
        <f t="shared" si="23"/>
        <v>50</v>
      </c>
    </row>
    <row r="648" spans="1:10" ht="14.25">
      <c r="A648" s="292" t="s">
        <v>317</v>
      </c>
      <c r="B648" s="417" t="s">
        <v>593</v>
      </c>
      <c r="C648" s="112" t="s">
        <v>29</v>
      </c>
      <c r="D648" s="418">
        <v>1</v>
      </c>
      <c r="E648" s="263"/>
      <c r="F648" s="263"/>
      <c r="G648" s="263"/>
      <c r="H648" s="263"/>
      <c r="I648" s="263"/>
      <c r="J648" s="99">
        <f t="shared" si="23"/>
        <v>1</v>
      </c>
    </row>
    <row r="649" spans="1:10" ht="14.25">
      <c r="A649" s="292" t="s">
        <v>318</v>
      </c>
      <c r="B649" s="417" t="s">
        <v>594</v>
      </c>
      <c r="C649" s="115" t="s">
        <v>29</v>
      </c>
      <c r="D649" s="418">
        <v>25</v>
      </c>
      <c r="E649" s="263"/>
      <c r="F649" s="263"/>
      <c r="G649" s="263"/>
      <c r="H649" s="263"/>
      <c r="I649" s="263"/>
      <c r="J649" s="99">
        <f t="shared" si="23"/>
        <v>25</v>
      </c>
    </row>
    <row r="650" spans="1:10" ht="14.25">
      <c r="A650" s="248"/>
      <c r="B650" s="116"/>
      <c r="C650" s="77"/>
      <c r="D650" s="258"/>
      <c r="E650" s="258"/>
      <c r="F650" s="258"/>
      <c r="G650" s="258"/>
      <c r="H650" s="258"/>
      <c r="I650" s="258"/>
      <c r="J650" s="107"/>
    </row>
    <row r="651" spans="1:10" ht="14.25">
      <c r="A651" s="53"/>
      <c r="B651" s="47"/>
      <c r="C651" s="54"/>
      <c r="D651" s="261"/>
      <c r="E651" s="261"/>
      <c r="F651" s="261"/>
      <c r="G651" s="261"/>
      <c r="H651" s="261"/>
      <c r="I651" s="262"/>
      <c r="J651" s="100"/>
    </row>
    <row r="652" spans="1:10" ht="15">
      <c r="A652" s="48" t="s">
        <v>73</v>
      </c>
      <c r="B652" s="62" t="s">
        <v>126</v>
      </c>
      <c r="C652" s="63"/>
      <c r="D652" s="266"/>
      <c r="E652" s="266"/>
      <c r="F652" s="266"/>
      <c r="G652" s="266"/>
      <c r="H652" s="266"/>
      <c r="I652" s="266"/>
      <c r="J652" s="103"/>
    </row>
    <row r="653" spans="1:10" ht="31.5" customHeight="1">
      <c r="A653" s="87"/>
      <c r="B653" s="34" t="s">
        <v>320</v>
      </c>
      <c r="C653" s="35"/>
      <c r="D653" s="260" t="s">
        <v>208</v>
      </c>
      <c r="E653" s="260" t="s">
        <v>209</v>
      </c>
      <c r="F653" s="260" t="s">
        <v>210</v>
      </c>
      <c r="G653" s="260" t="s">
        <v>211</v>
      </c>
      <c r="H653" s="260" t="s">
        <v>212</v>
      </c>
      <c r="I653" s="260" t="s">
        <v>213</v>
      </c>
      <c r="J653" s="85" t="s">
        <v>183</v>
      </c>
    </row>
    <row r="654" spans="1:10" ht="14.25" customHeight="1">
      <c r="A654" s="423" t="s">
        <v>313</v>
      </c>
      <c r="B654" s="128" t="s">
        <v>198</v>
      </c>
      <c r="C654" s="127"/>
      <c r="D654" s="420"/>
      <c r="E654" s="254"/>
      <c r="F654" s="254"/>
      <c r="G654" s="254"/>
      <c r="H654" s="254"/>
      <c r="I654" s="254"/>
      <c r="J654" s="88"/>
    </row>
    <row r="655" spans="1:10" ht="38.25">
      <c r="A655" s="424" t="s">
        <v>669</v>
      </c>
      <c r="B655" s="417" t="s">
        <v>194</v>
      </c>
      <c r="C655" s="112" t="s">
        <v>109</v>
      </c>
      <c r="D655" s="418">
        <v>19</v>
      </c>
      <c r="E655" s="276"/>
      <c r="F655" s="276"/>
      <c r="G655" s="276"/>
      <c r="H655" s="276"/>
      <c r="I655" s="276"/>
      <c r="J655" s="130">
        <f>D655</f>
        <v>19</v>
      </c>
    </row>
    <row r="656" spans="1:10" ht="25.5">
      <c r="A656" s="424" t="s">
        <v>670</v>
      </c>
      <c r="B656" s="417" t="s">
        <v>576</v>
      </c>
      <c r="C656" s="112" t="s">
        <v>109</v>
      </c>
      <c r="D656" s="418">
        <v>2</v>
      </c>
      <c r="E656" s="256"/>
      <c r="F656" s="256"/>
      <c r="G656" s="256"/>
      <c r="H656" s="256"/>
      <c r="I656" s="256"/>
      <c r="J656" s="99">
        <f aca="true" t="shared" si="24" ref="J656:J665">D656</f>
        <v>2</v>
      </c>
    </row>
    <row r="657" spans="1:10" ht="14.25">
      <c r="A657" s="424" t="s">
        <v>671</v>
      </c>
      <c r="B657" s="417" t="s">
        <v>578</v>
      </c>
      <c r="C657" s="112" t="s">
        <v>109</v>
      </c>
      <c r="D657" s="418">
        <v>1</v>
      </c>
      <c r="E657" s="256"/>
      <c r="F657" s="256"/>
      <c r="G657" s="256"/>
      <c r="H657" s="256"/>
      <c r="I657" s="256"/>
      <c r="J657" s="99">
        <f t="shared" si="24"/>
        <v>1</v>
      </c>
    </row>
    <row r="658" spans="1:10" ht="14.25">
      <c r="A658" s="424" t="s">
        <v>672</v>
      </c>
      <c r="B658" s="417" t="s">
        <v>202</v>
      </c>
      <c r="C658" s="112" t="s">
        <v>109</v>
      </c>
      <c r="D658" s="418">
        <v>22</v>
      </c>
      <c r="E658" s="256"/>
      <c r="F658" s="256"/>
      <c r="G658" s="256"/>
      <c r="H658" s="256"/>
      <c r="I658" s="256"/>
      <c r="J658" s="99">
        <f t="shared" si="24"/>
        <v>22</v>
      </c>
    </row>
    <row r="659" spans="1:10" ht="14.25">
      <c r="A659" s="424" t="s">
        <v>673</v>
      </c>
      <c r="B659" s="417" t="s">
        <v>203</v>
      </c>
      <c r="C659" s="112" t="s">
        <v>109</v>
      </c>
      <c r="D659" s="418">
        <v>2</v>
      </c>
      <c r="E659" s="256"/>
      <c r="F659" s="256"/>
      <c r="G659" s="256"/>
      <c r="H659" s="256"/>
      <c r="I659" s="256"/>
      <c r="J659" s="99">
        <f t="shared" si="24"/>
        <v>2</v>
      </c>
    </row>
    <row r="660" spans="1:10" ht="14.25">
      <c r="A660" s="424" t="s">
        <v>674</v>
      </c>
      <c r="B660" s="417" t="s">
        <v>579</v>
      </c>
      <c r="C660" s="112" t="s">
        <v>109</v>
      </c>
      <c r="D660" s="418">
        <v>4</v>
      </c>
      <c r="E660" s="256"/>
      <c r="F660" s="256"/>
      <c r="G660" s="256"/>
      <c r="H660" s="256"/>
      <c r="I660" s="256"/>
      <c r="J660" s="99">
        <f t="shared" si="24"/>
        <v>4</v>
      </c>
    </row>
    <row r="661" spans="1:10" ht="14.25">
      <c r="A661" s="425" t="s">
        <v>314</v>
      </c>
      <c r="B661" s="421" t="s">
        <v>199</v>
      </c>
      <c r="C661" s="422"/>
      <c r="D661" s="418"/>
      <c r="E661" s="256"/>
      <c r="F661" s="256"/>
      <c r="G661" s="256"/>
      <c r="H661" s="256"/>
      <c r="I661" s="256"/>
      <c r="J661" s="99">
        <f t="shared" si="24"/>
        <v>0</v>
      </c>
    </row>
    <row r="662" spans="1:10" ht="25.5">
      <c r="A662" s="424" t="s">
        <v>675</v>
      </c>
      <c r="B662" s="417" t="s">
        <v>195</v>
      </c>
      <c r="C662" s="112" t="s">
        <v>109</v>
      </c>
      <c r="D662" s="418">
        <v>19</v>
      </c>
      <c r="E662" s="256"/>
      <c r="F662" s="256"/>
      <c r="G662" s="256"/>
      <c r="H662" s="256"/>
      <c r="I662" s="256"/>
      <c r="J662" s="99">
        <f t="shared" si="24"/>
        <v>19</v>
      </c>
    </row>
    <row r="663" spans="1:10" ht="14.25">
      <c r="A663" s="424" t="s">
        <v>676</v>
      </c>
      <c r="B663" s="417" t="s">
        <v>196</v>
      </c>
      <c r="C663" s="112" t="s">
        <v>109</v>
      </c>
      <c r="D663" s="418">
        <v>8</v>
      </c>
      <c r="E663" s="256"/>
      <c r="F663" s="256"/>
      <c r="G663" s="256"/>
      <c r="H663" s="256"/>
      <c r="I663" s="256"/>
      <c r="J663" s="99">
        <f t="shared" si="24"/>
        <v>8</v>
      </c>
    </row>
    <row r="664" spans="1:10" ht="25.5">
      <c r="A664" s="424" t="s">
        <v>677</v>
      </c>
      <c r="B664" s="417" t="s">
        <v>200</v>
      </c>
      <c r="C664" s="112" t="s">
        <v>109</v>
      </c>
      <c r="D664" s="418">
        <v>8</v>
      </c>
      <c r="E664" s="256"/>
      <c r="F664" s="256"/>
      <c r="G664" s="256"/>
      <c r="H664" s="256"/>
      <c r="I664" s="256"/>
      <c r="J664" s="99">
        <f t="shared" si="24"/>
        <v>8</v>
      </c>
    </row>
    <row r="665" spans="1:10" ht="51">
      <c r="A665" s="424" t="s">
        <v>678</v>
      </c>
      <c r="B665" s="417" t="s">
        <v>197</v>
      </c>
      <c r="C665" s="112" t="s">
        <v>109</v>
      </c>
      <c r="D665" s="418">
        <v>2</v>
      </c>
      <c r="E665" s="256"/>
      <c r="F665" s="256"/>
      <c r="G665" s="256"/>
      <c r="H665" s="256"/>
      <c r="I665" s="256"/>
      <c r="J665" s="99">
        <f t="shared" si="24"/>
        <v>2</v>
      </c>
    </row>
    <row r="666" spans="1:10" ht="14.25">
      <c r="A666" s="129"/>
      <c r="B666" s="116"/>
      <c r="C666" s="77"/>
      <c r="D666" s="258"/>
      <c r="E666" s="258"/>
      <c r="F666" s="258"/>
      <c r="G666" s="258"/>
      <c r="H666" s="258"/>
      <c r="I666" s="258"/>
      <c r="J666" s="107"/>
    </row>
    <row r="667" spans="1:10" ht="14.25">
      <c r="A667" s="53"/>
      <c r="B667" s="47"/>
      <c r="C667" s="54"/>
      <c r="D667" s="261"/>
      <c r="E667" s="261"/>
      <c r="F667" s="261"/>
      <c r="G667" s="261"/>
      <c r="H667" s="261"/>
      <c r="I667" s="262"/>
      <c r="J667" s="100"/>
    </row>
    <row r="668" spans="1:10" ht="14.25">
      <c r="A668" s="296" t="s">
        <v>74</v>
      </c>
      <c r="B668" s="128" t="s">
        <v>134</v>
      </c>
      <c r="C668" s="127"/>
      <c r="D668" s="277"/>
      <c r="E668" s="263"/>
      <c r="F668" s="263"/>
      <c r="G668" s="263"/>
      <c r="H668" s="263"/>
      <c r="I668" s="263"/>
      <c r="J668" s="97"/>
    </row>
    <row r="669" spans="1:12" ht="28.5">
      <c r="A669" s="33"/>
      <c r="B669" s="34" t="s">
        <v>559</v>
      </c>
      <c r="C669" s="35" t="s">
        <v>561</v>
      </c>
      <c r="D669" s="260" t="s">
        <v>208</v>
      </c>
      <c r="E669" s="260" t="s">
        <v>209</v>
      </c>
      <c r="F669" s="260" t="s">
        <v>210</v>
      </c>
      <c r="G669" s="260" t="s">
        <v>211</v>
      </c>
      <c r="H669" s="260" t="s">
        <v>212</v>
      </c>
      <c r="I669" s="260" t="s">
        <v>213</v>
      </c>
      <c r="J669" s="85" t="s">
        <v>183</v>
      </c>
      <c r="L669" s="38">
        <f>660</f>
        <v>660</v>
      </c>
    </row>
    <row r="670" spans="1:10" ht="15">
      <c r="A670" s="294" t="s">
        <v>359</v>
      </c>
      <c r="B670" s="113" t="s">
        <v>190</v>
      </c>
      <c r="C670" s="131"/>
      <c r="D670" s="278"/>
      <c r="E670" s="263"/>
      <c r="F670" s="263"/>
      <c r="G670" s="263"/>
      <c r="H670" s="263"/>
      <c r="I670" s="263"/>
      <c r="J670" s="97"/>
    </row>
    <row r="671" spans="1:10" ht="28.5">
      <c r="A671" s="295" t="s">
        <v>679</v>
      </c>
      <c r="B671" s="113" t="s">
        <v>321</v>
      </c>
      <c r="C671" s="114"/>
      <c r="D671" s="279">
        <v>8</v>
      </c>
      <c r="E671" s="263"/>
      <c r="F671" s="263"/>
      <c r="G671" s="263"/>
      <c r="H671" s="263"/>
      <c r="I671" s="263"/>
      <c r="J671" s="97">
        <f>D671</f>
        <v>8</v>
      </c>
    </row>
    <row r="672" spans="1:10" ht="14.25">
      <c r="A672" s="295" t="s">
        <v>360</v>
      </c>
      <c r="B672" s="113" t="s">
        <v>191</v>
      </c>
      <c r="C672" s="114"/>
      <c r="D672" s="279"/>
      <c r="E672" s="263"/>
      <c r="F672" s="263"/>
      <c r="G672" s="263"/>
      <c r="H672" s="263"/>
      <c r="I672" s="263"/>
      <c r="J672" s="97"/>
    </row>
    <row r="673" spans="1:10" ht="14.25">
      <c r="A673" s="295" t="s">
        <v>361</v>
      </c>
      <c r="B673" s="113" t="s">
        <v>560</v>
      </c>
      <c r="C673" s="114"/>
      <c r="D673" s="279"/>
      <c r="E673" s="263"/>
      <c r="F673" s="263"/>
      <c r="G673" s="263"/>
      <c r="H673" s="263"/>
      <c r="I673" s="263"/>
      <c r="J673" s="97"/>
    </row>
    <row r="674" spans="1:10" ht="14.25">
      <c r="A674" s="295"/>
      <c r="B674" s="395" t="s">
        <v>562</v>
      </c>
      <c r="C674" s="114"/>
      <c r="D674" s="279">
        <v>11</v>
      </c>
      <c r="E674" s="263"/>
      <c r="F674" s="263"/>
      <c r="G674" s="263"/>
      <c r="H674" s="263"/>
      <c r="I674" s="263"/>
      <c r="J674" s="97">
        <f>D674</f>
        <v>11</v>
      </c>
    </row>
    <row r="675" spans="1:10" ht="14.25">
      <c r="A675" s="295"/>
      <c r="B675" s="395" t="s">
        <v>563</v>
      </c>
      <c r="C675" s="114"/>
      <c r="D675" s="279">
        <v>1</v>
      </c>
      <c r="E675" s="263"/>
      <c r="F675" s="263"/>
      <c r="G675" s="263"/>
      <c r="H675" s="263"/>
      <c r="I675" s="263"/>
      <c r="J675" s="97">
        <f>D675</f>
        <v>1</v>
      </c>
    </row>
    <row r="676" spans="1:10" ht="14.25">
      <c r="A676" s="295"/>
      <c r="B676" s="395" t="s">
        <v>564</v>
      </c>
      <c r="C676" s="114"/>
      <c r="D676" s="279">
        <v>2</v>
      </c>
      <c r="E676" s="263"/>
      <c r="F676" s="263"/>
      <c r="G676" s="263"/>
      <c r="H676" s="263"/>
      <c r="I676" s="263"/>
      <c r="J676" s="97"/>
    </row>
    <row r="677" spans="1:10" ht="14.25">
      <c r="A677" s="295"/>
      <c r="B677" s="395" t="s">
        <v>565</v>
      </c>
      <c r="C677" s="114"/>
      <c r="D677" s="279">
        <v>8</v>
      </c>
      <c r="E677" s="263"/>
      <c r="F677" s="263"/>
      <c r="G677" s="263"/>
      <c r="H677" s="263"/>
      <c r="I677" s="263"/>
      <c r="J677" s="97">
        <f>D677</f>
        <v>8</v>
      </c>
    </row>
    <row r="678" spans="1:10" ht="14.25">
      <c r="A678" s="295"/>
      <c r="B678" s="395" t="s">
        <v>566</v>
      </c>
      <c r="C678" s="114"/>
      <c r="D678" s="279">
        <v>1</v>
      </c>
      <c r="E678" s="263"/>
      <c r="F678" s="263"/>
      <c r="G678" s="263"/>
      <c r="H678" s="263"/>
      <c r="I678" s="263"/>
      <c r="J678" s="97">
        <f>D678</f>
        <v>1</v>
      </c>
    </row>
    <row r="679" spans="1:10" ht="14.25">
      <c r="A679" s="295"/>
      <c r="B679" s="395" t="s">
        <v>567</v>
      </c>
      <c r="C679" s="114"/>
      <c r="D679" s="279">
        <v>1</v>
      </c>
      <c r="E679" s="263"/>
      <c r="F679" s="263"/>
      <c r="G679" s="263"/>
      <c r="H679" s="263"/>
      <c r="I679" s="263"/>
      <c r="J679" s="97">
        <f>D679</f>
        <v>1</v>
      </c>
    </row>
    <row r="680" spans="1:10" ht="14.25">
      <c r="A680" s="295"/>
      <c r="B680" s="395" t="s">
        <v>216</v>
      </c>
      <c r="C680" s="114"/>
      <c r="D680" s="279">
        <v>2</v>
      </c>
      <c r="E680" s="263"/>
      <c r="F680" s="263"/>
      <c r="G680" s="263"/>
      <c r="H680" s="263"/>
      <c r="I680" s="263"/>
      <c r="J680" s="97">
        <f>D680</f>
        <v>2</v>
      </c>
    </row>
    <row r="681" spans="1:10" ht="14.25">
      <c r="A681" s="295" t="s">
        <v>362</v>
      </c>
      <c r="B681" s="113" t="s">
        <v>568</v>
      </c>
      <c r="C681" s="114"/>
      <c r="D681" s="279">
        <v>12</v>
      </c>
      <c r="E681" s="263"/>
      <c r="F681" s="263"/>
      <c r="G681" s="263"/>
      <c r="H681" s="263"/>
      <c r="I681" s="263"/>
      <c r="J681" s="97">
        <f>D681</f>
        <v>12</v>
      </c>
    </row>
    <row r="682" spans="1:10" ht="14.25">
      <c r="A682" s="293"/>
      <c r="B682" s="113"/>
      <c r="C682" s="114"/>
      <c r="D682" s="280"/>
      <c r="E682" s="263"/>
      <c r="F682" s="263"/>
      <c r="G682" s="263"/>
      <c r="H682" s="263"/>
      <c r="I682" s="263"/>
      <c r="J682" s="97"/>
    </row>
    <row r="683" spans="1:10" ht="14.25">
      <c r="A683" s="53"/>
      <c r="B683" s="47"/>
      <c r="C683" s="54"/>
      <c r="D683" s="261"/>
      <c r="E683" s="261"/>
      <c r="F683" s="261"/>
      <c r="G683" s="261"/>
      <c r="H683" s="261"/>
      <c r="I683" s="262"/>
      <c r="J683" s="100"/>
    </row>
    <row r="684" spans="1:10" ht="14.25">
      <c r="A684" s="297" t="s">
        <v>75</v>
      </c>
      <c r="B684" s="246" t="s">
        <v>136</v>
      </c>
      <c r="C684" s="247"/>
      <c r="D684" s="277"/>
      <c r="E684" s="263"/>
      <c r="F684" s="263"/>
      <c r="G684" s="263"/>
      <c r="H684" s="263"/>
      <c r="I684" s="263"/>
      <c r="J684" s="97"/>
    </row>
    <row r="685" spans="1:10" ht="63.75">
      <c r="A685" s="298" t="s">
        <v>363</v>
      </c>
      <c r="B685" s="8" t="s">
        <v>377</v>
      </c>
      <c r="C685" s="245" t="s">
        <v>370</v>
      </c>
      <c r="D685" s="260" t="s">
        <v>208</v>
      </c>
      <c r="E685" s="260" t="s">
        <v>209</v>
      </c>
      <c r="F685" s="260" t="s">
        <v>210</v>
      </c>
      <c r="G685" s="260" t="s">
        <v>211</v>
      </c>
      <c r="H685" s="260" t="s">
        <v>212</v>
      </c>
      <c r="I685" s="260" t="s">
        <v>213</v>
      </c>
      <c r="J685" s="85">
        <f>SUM(J686:J687)</f>
        <v>2</v>
      </c>
    </row>
    <row r="686" spans="1:10" ht="14.25">
      <c r="A686" s="43"/>
      <c r="B686" s="37" t="s">
        <v>690</v>
      </c>
      <c r="C686" s="44"/>
      <c r="D686" s="263">
        <v>2</v>
      </c>
      <c r="E686" s="263"/>
      <c r="F686" s="263"/>
      <c r="G686" s="263"/>
      <c r="H686" s="263"/>
      <c r="I686" s="263"/>
      <c r="J686" s="97">
        <f>D686</f>
        <v>2</v>
      </c>
    </row>
    <row r="687" spans="1:10" ht="14.25">
      <c r="A687" s="43"/>
      <c r="B687" s="49"/>
      <c r="C687" s="44"/>
      <c r="D687" s="263"/>
      <c r="E687" s="263"/>
      <c r="F687" s="263"/>
      <c r="G687" s="263"/>
      <c r="H687" s="263"/>
      <c r="I687" s="263"/>
      <c r="J687" s="97"/>
    </row>
    <row r="688" spans="1:10" ht="14.25">
      <c r="A688" s="53"/>
      <c r="B688" s="47"/>
      <c r="C688" s="54"/>
      <c r="D688" s="261"/>
      <c r="E688" s="261"/>
      <c r="F688" s="261"/>
      <c r="G688" s="261"/>
      <c r="H688" s="261"/>
      <c r="I688" s="262"/>
      <c r="J688" s="100"/>
    </row>
    <row r="689" spans="1:10" ht="25.5">
      <c r="A689" s="249" t="s">
        <v>364</v>
      </c>
      <c r="B689" s="20" t="s">
        <v>378</v>
      </c>
      <c r="C689" s="245" t="s">
        <v>370</v>
      </c>
      <c r="D689" s="260" t="s">
        <v>208</v>
      </c>
      <c r="E689" s="260" t="s">
        <v>209</v>
      </c>
      <c r="F689" s="260" t="s">
        <v>210</v>
      </c>
      <c r="G689" s="260" t="s">
        <v>211</v>
      </c>
      <c r="H689" s="260" t="s">
        <v>212</v>
      </c>
      <c r="I689" s="260" t="s">
        <v>213</v>
      </c>
      <c r="J689" s="85">
        <f>SUM(J690:J695)</f>
        <v>7</v>
      </c>
    </row>
    <row r="690" spans="1:10" ht="15">
      <c r="A690" s="43"/>
      <c r="B690" s="430"/>
      <c r="C690" s="44"/>
      <c r="D690" s="263"/>
      <c r="E690" s="263"/>
      <c r="F690" s="263"/>
      <c r="G690" s="263"/>
      <c r="H690" s="263"/>
      <c r="I690" s="263"/>
      <c r="J690" s="97"/>
    </row>
    <row r="691" spans="1:10" ht="14.25">
      <c r="A691" s="43"/>
      <c r="B691" s="37" t="s">
        <v>690</v>
      </c>
      <c r="C691" s="44"/>
      <c r="D691" s="263">
        <v>2</v>
      </c>
      <c r="E691" s="263"/>
      <c r="F691" s="263"/>
      <c r="G691" s="263"/>
      <c r="H691" s="263"/>
      <c r="I691" s="263"/>
      <c r="J691" s="97">
        <f>D691</f>
        <v>2</v>
      </c>
    </row>
    <row r="692" spans="1:10" ht="14.25">
      <c r="A692" s="43"/>
      <c r="B692" s="49" t="s">
        <v>688</v>
      </c>
      <c r="C692" s="44"/>
      <c r="D692" s="263">
        <v>2</v>
      </c>
      <c r="E692" s="263"/>
      <c r="F692" s="263"/>
      <c r="G692" s="263"/>
      <c r="H692" s="263"/>
      <c r="I692" s="263"/>
      <c r="J692" s="97">
        <f>D692</f>
        <v>2</v>
      </c>
    </row>
    <row r="693" spans="1:10" ht="14.25">
      <c r="A693" s="479"/>
      <c r="B693" s="49" t="s">
        <v>689</v>
      </c>
      <c r="C693" s="44"/>
      <c r="D693" s="263">
        <v>2</v>
      </c>
      <c r="E693" s="263"/>
      <c r="F693" s="263"/>
      <c r="G693" s="263"/>
      <c r="H693" s="263"/>
      <c r="I693" s="263"/>
      <c r="J693" s="97">
        <f>D693</f>
        <v>2</v>
      </c>
    </row>
    <row r="694" spans="1:10" ht="14.25">
      <c r="A694" s="43"/>
      <c r="B694" s="49" t="s">
        <v>553</v>
      </c>
      <c r="C694" s="44"/>
      <c r="D694" s="263">
        <v>1</v>
      </c>
      <c r="E694" s="263"/>
      <c r="F694" s="263"/>
      <c r="G694" s="263"/>
      <c r="H694" s="263"/>
      <c r="I694" s="263"/>
      <c r="J694" s="97">
        <f>D694</f>
        <v>1</v>
      </c>
    </row>
    <row r="695" spans="1:10" ht="14.25">
      <c r="A695" s="43"/>
      <c r="B695" s="49"/>
      <c r="C695" s="44"/>
      <c r="D695" s="263"/>
      <c r="E695" s="263"/>
      <c r="F695" s="263"/>
      <c r="G695" s="263"/>
      <c r="H695" s="263"/>
      <c r="I695" s="263"/>
      <c r="J695" s="97"/>
    </row>
    <row r="696" spans="1:10" ht="14.25">
      <c r="A696" s="53"/>
      <c r="B696" s="47"/>
      <c r="C696" s="54"/>
      <c r="D696" s="261"/>
      <c r="E696" s="261"/>
      <c r="F696" s="261"/>
      <c r="G696" s="261"/>
      <c r="H696" s="261"/>
      <c r="I696" s="262"/>
      <c r="J696" s="100"/>
    </row>
    <row r="697" spans="1:10" ht="28.5">
      <c r="A697" s="250" t="s">
        <v>680</v>
      </c>
      <c r="B697" s="244" t="s">
        <v>379</v>
      </c>
      <c r="C697" s="245" t="s">
        <v>370</v>
      </c>
      <c r="D697" s="260" t="s">
        <v>208</v>
      </c>
      <c r="E697" s="260" t="s">
        <v>209</v>
      </c>
      <c r="F697" s="260" t="s">
        <v>210</v>
      </c>
      <c r="G697" s="260" t="s">
        <v>211</v>
      </c>
      <c r="H697" s="260" t="s">
        <v>212</v>
      </c>
      <c r="I697" s="260" t="s">
        <v>213</v>
      </c>
      <c r="J697" s="85">
        <f>SUM(J698:J699)</f>
        <v>4</v>
      </c>
    </row>
    <row r="698" spans="1:10" ht="14.25">
      <c r="A698" s="43"/>
      <c r="B698" s="37" t="s">
        <v>690</v>
      </c>
      <c r="C698" s="44"/>
      <c r="D698" s="263">
        <v>2</v>
      </c>
      <c r="E698" s="263"/>
      <c r="F698" s="263"/>
      <c r="G698" s="263"/>
      <c r="H698" s="263"/>
      <c r="I698" s="263"/>
      <c r="J698" s="97">
        <f>D698</f>
        <v>2</v>
      </c>
    </row>
    <row r="699" spans="1:10" ht="14.25">
      <c r="A699" s="43"/>
      <c r="B699" s="49" t="s">
        <v>689</v>
      </c>
      <c r="C699" s="44"/>
      <c r="D699" s="263">
        <v>2</v>
      </c>
      <c r="E699" s="263"/>
      <c r="F699" s="263"/>
      <c r="G699" s="263"/>
      <c r="H699" s="263"/>
      <c r="I699" s="263"/>
      <c r="J699" s="97">
        <f>D699</f>
        <v>2</v>
      </c>
    </row>
    <row r="700" spans="1:10" ht="14.25">
      <c r="A700" s="43"/>
      <c r="B700" s="49"/>
      <c r="C700" s="44"/>
      <c r="D700" s="263"/>
      <c r="E700" s="263"/>
      <c r="F700" s="263"/>
      <c r="G700" s="263"/>
      <c r="H700" s="263"/>
      <c r="I700" s="263"/>
      <c r="J700" s="97">
        <f aca="true" t="shared" si="25" ref="J700:J707">IF(C700&gt;0,C700,"")</f>
      </c>
    </row>
    <row r="701" spans="1:10" ht="14.25">
      <c r="A701" s="53"/>
      <c r="B701" s="47"/>
      <c r="C701" s="54"/>
      <c r="D701" s="261"/>
      <c r="E701" s="261"/>
      <c r="F701" s="261"/>
      <c r="G701" s="261"/>
      <c r="H701" s="261"/>
      <c r="I701" s="262"/>
      <c r="J701" s="100">
        <f t="shared" si="25"/>
      </c>
    </row>
    <row r="702" spans="1:10" ht="57">
      <c r="A702" s="250" t="s">
        <v>681</v>
      </c>
      <c r="B702" s="244" t="s">
        <v>380</v>
      </c>
      <c r="C702" s="245" t="s">
        <v>370</v>
      </c>
      <c r="D702" s="260" t="s">
        <v>208</v>
      </c>
      <c r="E702" s="260" t="s">
        <v>209</v>
      </c>
      <c r="F702" s="260" t="s">
        <v>210</v>
      </c>
      <c r="G702" s="260" t="s">
        <v>211</v>
      </c>
      <c r="H702" s="260" t="s">
        <v>212</v>
      </c>
      <c r="I702" s="260" t="s">
        <v>213</v>
      </c>
      <c r="J702" s="85">
        <f>SUM(J703:J705)</f>
        <v>3</v>
      </c>
    </row>
    <row r="703" spans="1:10" ht="14.25">
      <c r="A703" s="43"/>
      <c r="B703" s="49" t="s">
        <v>603</v>
      </c>
      <c r="C703" s="44"/>
      <c r="D703" s="263">
        <v>1</v>
      </c>
      <c r="E703" s="263"/>
      <c r="F703" s="263"/>
      <c r="G703" s="263"/>
      <c r="H703" s="263"/>
      <c r="I703" s="263"/>
      <c r="J703" s="97">
        <f>D703</f>
        <v>1</v>
      </c>
    </row>
    <row r="704" spans="1:10" ht="14.25">
      <c r="A704" s="43"/>
      <c r="B704" s="49" t="s">
        <v>462</v>
      </c>
      <c r="C704" s="44"/>
      <c r="D704" s="263">
        <v>1</v>
      </c>
      <c r="E704" s="263"/>
      <c r="F704" s="263"/>
      <c r="G704" s="263"/>
      <c r="H704" s="263"/>
      <c r="I704" s="263"/>
      <c r="J704" s="97">
        <f>D704</f>
        <v>1</v>
      </c>
    </row>
    <row r="705" spans="1:10" ht="14.25">
      <c r="A705" s="43"/>
      <c r="B705" s="49" t="s">
        <v>301</v>
      </c>
      <c r="C705" s="44"/>
      <c r="D705" s="263">
        <v>1</v>
      </c>
      <c r="E705" s="263"/>
      <c r="F705" s="263"/>
      <c r="G705" s="263"/>
      <c r="H705" s="263"/>
      <c r="I705" s="263"/>
      <c r="J705" s="97">
        <f>D705</f>
        <v>1</v>
      </c>
    </row>
    <row r="706" spans="1:10" ht="14.25">
      <c r="A706" s="43"/>
      <c r="B706" s="49"/>
      <c r="C706" s="44"/>
      <c r="D706" s="263"/>
      <c r="E706" s="263"/>
      <c r="F706" s="263"/>
      <c r="G706" s="263"/>
      <c r="H706" s="263"/>
      <c r="I706" s="263"/>
      <c r="J706" s="97">
        <f t="shared" si="25"/>
      </c>
    </row>
    <row r="707" spans="1:10" ht="14.25">
      <c r="A707" s="53"/>
      <c r="B707" s="47"/>
      <c r="C707" s="54"/>
      <c r="D707" s="261"/>
      <c r="E707" s="261"/>
      <c r="F707" s="261"/>
      <c r="G707" s="261"/>
      <c r="H707" s="261"/>
      <c r="I707" s="262"/>
      <c r="J707" s="100">
        <f t="shared" si="25"/>
      </c>
    </row>
    <row r="708" spans="1:10" ht="85.5">
      <c r="A708" s="250" t="s">
        <v>682</v>
      </c>
      <c r="B708" s="244" t="s">
        <v>381</v>
      </c>
      <c r="C708" s="245" t="s">
        <v>370</v>
      </c>
      <c r="D708" s="260" t="s">
        <v>208</v>
      </c>
      <c r="E708" s="260" t="s">
        <v>209</v>
      </c>
      <c r="F708" s="260" t="s">
        <v>210</v>
      </c>
      <c r="G708" s="260" t="s">
        <v>211</v>
      </c>
      <c r="H708" s="260" t="s">
        <v>212</v>
      </c>
      <c r="I708" s="260" t="s">
        <v>213</v>
      </c>
      <c r="J708" s="85">
        <f>J709</f>
        <v>2</v>
      </c>
    </row>
    <row r="709" spans="1:10" ht="14.25">
      <c r="A709" s="43"/>
      <c r="B709" s="37" t="s">
        <v>690</v>
      </c>
      <c r="C709" s="44"/>
      <c r="D709" s="263">
        <v>2</v>
      </c>
      <c r="E709" s="263"/>
      <c r="F709" s="263"/>
      <c r="G709" s="263"/>
      <c r="H709" s="263"/>
      <c r="I709" s="263"/>
      <c r="J709" s="97">
        <f>D709</f>
        <v>2</v>
      </c>
    </row>
    <row r="710" spans="1:10" ht="14.25">
      <c r="A710" s="43"/>
      <c r="B710" s="49"/>
      <c r="C710" s="44"/>
      <c r="D710" s="263"/>
      <c r="E710" s="263"/>
      <c r="F710" s="263"/>
      <c r="G710" s="263"/>
      <c r="H710" s="263"/>
      <c r="I710" s="263"/>
      <c r="J710" s="97"/>
    </row>
    <row r="711" spans="1:10" ht="14.25">
      <c r="A711" s="53"/>
      <c r="B711" s="47"/>
      <c r="C711" s="54"/>
      <c r="D711" s="261"/>
      <c r="E711" s="261"/>
      <c r="F711" s="261"/>
      <c r="G711" s="261"/>
      <c r="H711" s="261"/>
      <c r="I711" s="262"/>
      <c r="J711" s="100"/>
    </row>
    <row r="712" spans="1:10" ht="57">
      <c r="A712" s="250" t="s">
        <v>683</v>
      </c>
      <c r="B712" s="244" t="s">
        <v>382</v>
      </c>
      <c r="C712" s="245" t="s">
        <v>370</v>
      </c>
      <c r="D712" s="260" t="s">
        <v>208</v>
      </c>
      <c r="E712" s="260" t="s">
        <v>209</v>
      </c>
      <c r="F712" s="260" t="s">
        <v>210</v>
      </c>
      <c r="G712" s="260" t="s">
        <v>211</v>
      </c>
      <c r="H712" s="260" t="s">
        <v>212</v>
      </c>
      <c r="I712" s="260" t="s">
        <v>213</v>
      </c>
      <c r="J712" s="85">
        <f>SUM(J713:J715)</f>
        <v>5</v>
      </c>
    </row>
    <row r="713" spans="1:10" ht="14.25">
      <c r="A713" s="43"/>
      <c r="B713" s="49" t="s">
        <v>688</v>
      </c>
      <c r="C713" s="44"/>
      <c r="D713" s="263">
        <v>2</v>
      </c>
      <c r="E713" s="263"/>
      <c r="F713" s="263"/>
      <c r="G713" s="263"/>
      <c r="H713" s="263"/>
      <c r="I713" s="263"/>
      <c r="J713" s="97">
        <f>D713</f>
        <v>2</v>
      </c>
    </row>
    <row r="714" spans="1:10" ht="14.25">
      <c r="A714" s="43"/>
      <c r="B714" s="49" t="s">
        <v>689</v>
      </c>
      <c r="C714" s="44"/>
      <c r="D714" s="263">
        <v>2</v>
      </c>
      <c r="E714" s="263"/>
      <c r="F714" s="263"/>
      <c r="G714" s="263"/>
      <c r="H714" s="263"/>
      <c r="I714" s="263"/>
      <c r="J714" s="97">
        <f>D714</f>
        <v>2</v>
      </c>
    </row>
    <row r="715" spans="1:10" ht="14.25">
      <c r="A715" s="43"/>
      <c r="B715" s="49" t="s">
        <v>553</v>
      </c>
      <c r="C715" s="44"/>
      <c r="D715" s="263">
        <v>1</v>
      </c>
      <c r="E715" s="263"/>
      <c r="F715" s="263"/>
      <c r="G715" s="263"/>
      <c r="H715" s="263"/>
      <c r="I715" s="263"/>
      <c r="J715" s="97">
        <f>D715</f>
        <v>1</v>
      </c>
    </row>
    <row r="716" spans="1:10" ht="14.25">
      <c r="A716" s="43"/>
      <c r="B716" s="49"/>
      <c r="C716" s="44"/>
      <c r="D716" s="263"/>
      <c r="E716" s="263"/>
      <c r="F716" s="263"/>
      <c r="G716" s="263"/>
      <c r="H716" s="263"/>
      <c r="I716" s="263"/>
      <c r="J716" s="97"/>
    </row>
    <row r="717" spans="1:10" ht="14.25">
      <c r="A717" s="53"/>
      <c r="B717" s="47"/>
      <c r="C717" s="54"/>
      <c r="D717" s="261"/>
      <c r="E717" s="261"/>
      <c r="F717" s="261"/>
      <c r="G717" s="261"/>
      <c r="H717" s="261"/>
      <c r="I717" s="262"/>
      <c r="J717" s="100"/>
    </row>
    <row r="718" spans="1:10" ht="42.75">
      <c r="A718" s="250" t="s">
        <v>684</v>
      </c>
      <c r="B718" s="244" t="s">
        <v>383</v>
      </c>
      <c r="C718" s="245" t="s">
        <v>370</v>
      </c>
      <c r="D718" s="260" t="s">
        <v>208</v>
      </c>
      <c r="E718" s="260" t="s">
        <v>209</v>
      </c>
      <c r="F718" s="260" t="s">
        <v>210</v>
      </c>
      <c r="G718" s="260" t="s">
        <v>211</v>
      </c>
      <c r="H718" s="260" t="s">
        <v>212</v>
      </c>
      <c r="I718" s="260" t="s">
        <v>213</v>
      </c>
      <c r="J718" s="85">
        <f>SUM(J719:J722)</f>
        <v>5</v>
      </c>
    </row>
    <row r="719" spans="1:10" ht="14.25">
      <c r="A719" s="43"/>
      <c r="B719" s="49" t="s">
        <v>688</v>
      </c>
      <c r="C719" s="44"/>
      <c r="D719" s="263">
        <v>2</v>
      </c>
      <c r="E719" s="263"/>
      <c r="F719" s="263"/>
      <c r="G719" s="263"/>
      <c r="H719" s="263"/>
      <c r="I719" s="263"/>
      <c r="J719" s="97">
        <f>D719</f>
        <v>2</v>
      </c>
    </row>
    <row r="720" spans="1:10" ht="14.25">
      <c r="A720" s="43"/>
      <c r="B720" s="49" t="s">
        <v>689</v>
      </c>
      <c r="C720" s="44"/>
      <c r="D720" s="263">
        <v>2</v>
      </c>
      <c r="E720" s="263"/>
      <c r="F720" s="263"/>
      <c r="G720" s="263"/>
      <c r="H720" s="263"/>
      <c r="I720" s="263"/>
      <c r="J720" s="97">
        <f>D720</f>
        <v>2</v>
      </c>
    </row>
    <row r="721" spans="1:10" ht="14.25">
      <c r="A721" s="43"/>
      <c r="B721" s="49" t="s">
        <v>553</v>
      </c>
      <c r="C721" s="44"/>
      <c r="D721" s="263">
        <v>1</v>
      </c>
      <c r="E721" s="263"/>
      <c r="F721" s="263"/>
      <c r="G721" s="263"/>
      <c r="H721" s="263"/>
      <c r="I721" s="263"/>
      <c r="J721" s="97">
        <f>D721</f>
        <v>1</v>
      </c>
    </row>
    <row r="722" spans="1:10" ht="14.25">
      <c r="A722" s="43"/>
      <c r="B722" s="49"/>
      <c r="C722" s="44"/>
      <c r="D722" s="263"/>
      <c r="E722" s="263"/>
      <c r="F722" s="263"/>
      <c r="G722" s="263"/>
      <c r="H722" s="263"/>
      <c r="I722" s="263"/>
      <c r="J722" s="97"/>
    </row>
    <row r="723" spans="1:10" ht="14.25">
      <c r="A723" s="53"/>
      <c r="B723" s="47"/>
      <c r="C723" s="54"/>
      <c r="D723" s="261"/>
      <c r="E723" s="261"/>
      <c r="F723" s="261"/>
      <c r="G723" s="261"/>
      <c r="H723" s="261"/>
      <c r="I723" s="262"/>
      <c r="J723" s="100"/>
    </row>
    <row r="724" spans="1:10" ht="42.75">
      <c r="A724" s="250" t="s">
        <v>685</v>
      </c>
      <c r="B724" s="244" t="s">
        <v>384</v>
      </c>
      <c r="C724" s="245" t="s">
        <v>370</v>
      </c>
      <c r="D724" s="260" t="s">
        <v>208</v>
      </c>
      <c r="E724" s="260" t="s">
        <v>209</v>
      </c>
      <c r="F724" s="260" t="s">
        <v>210</v>
      </c>
      <c r="G724" s="260" t="s">
        <v>211</v>
      </c>
      <c r="H724" s="260" t="s">
        <v>212</v>
      </c>
      <c r="I724" s="260" t="s">
        <v>213</v>
      </c>
      <c r="J724" s="85">
        <f>SUM(J725:J727)</f>
        <v>5</v>
      </c>
    </row>
    <row r="725" spans="1:10" ht="14.25">
      <c r="A725" s="43"/>
      <c r="B725" s="49" t="s">
        <v>688</v>
      </c>
      <c r="C725" s="44"/>
      <c r="D725" s="263">
        <v>2</v>
      </c>
      <c r="E725" s="263"/>
      <c r="F725" s="263"/>
      <c r="G725" s="263"/>
      <c r="H725" s="263"/>
      <c r="I725" s="263"/>
      <c r="J725" s="97">
        <f>D725</f>
        <v>2</v>
      </c>
    </row>
    <row r="726" spans="1:10" ht="14.25">
      <c r="A726" s="43"/>
      <c r="B726" s="49" t="s">
        <v>689</v>
      </c>
      <c r="C726" s="44"/>
      <c r="D726" s="263">
        <v>2</v>
      </c>
      <c r="E726" s="263"/>
      <c r="F726" s="263"/>
      <c r="G726" s="263"/>
      <c r="H726" s="263"/>
      <c r="I726" s="263"/>
      <c r="J726" s="97">
        <f>D726</f>
        <v>2</v>
      </c>
    </row>
    <row r="727" spans="1:10" ht="14.25">
      <c r="A727" s="43"/>
      <c r="B727" s="49" t="s">
        <v>553</v>
      </c>
      <c r="C727" s="44"/>
      <c r="D727" s="263">
        <v>1</v>
      </c>
      <c r="E727" s="263"/>
      <c r="F727" s="263"/>
      <c r="G727" s="263"/>
      <c r="H727" s="263"/>
      <c r="I727" s="263"/>
      <c r="J727" s="97">
        <f>D727</f>
        <v>1</v>
      </c>
    </row>
    <row r="728" spans="1:10" ht="14.25">
      <c r="A728" s="43"/>
      <c r="B728" s="49"/>
      <c r="C728" s="44"/>
      <c r="D728" s="263"/>
      <c r="E728" s="263"/>
      <c r="F728" s="263"/>
      <c r="G728" s="263"/>
      <c r="H728" s="263"/>
      <c r="I728" s="263"/>
      <c r="J728" s="97"/>
    </row>
    <row r="729" spans="1:10" ht="14.25">
      <c r="A729" s="53"/>
      <c r="B729" s="47"/>
      <c r="C729" s="54"/>
      <c r="D729" s="261"/>
      <c r="E729" s="261"/>
      <c r="F729" s="261"/>
      <c r="G729" s="261"/>
      <c r="H729" s="261"/>
      <c r="I729" s="262"/>
      <c r="J729" s="100"/>
    </row>
    <row r="730" spans="1:10" ht="42.75">
      <c r="A730" s="250" t="s">
        <v>686</v>
      </c>
      <c r="B730" s="244" t="s">
        <v>385</v>
      </c>
      <c r="C730" s="245" t="s">
        <v>370</v>
      </c>
      <c r="D730" s="260" t="s">
        <v>208</v>
      </c>
      <c r="E730" s="260" t="s">
        <v>209</v>
      </c>
      <c r="F730" s="260" t="s">
        <v>210</v>
      </c>
      <c r="G730" s="260" t="s">
        <v>211</v>
      </c>
      <c r="H730" s="260" t="s">
        <v>212</v>
      </c>
      <c r="I730" s="260" t="s">
        <v>213</v>
      </c>
      <c r="J730" s="85">
        <f>SUM(J731:J734)</f>
        <v>2</v>
      </c>
    </row>
    <row r="731" spans="1:10" ht="14.25">
      <c r="A731" s="43"/>
      <c r="B731" s="49" t="s">
        <v>603</v>
      </c>
      <c r="C731" s="44"/>
      <c r="D731" s="263">
        <v>1</v>
      </c>
      <c r="E731" s="263"/>
      <c r="F731" s="263"/>
      <c r="G731" s="263"/>
      <c r="H731" s="263"/>
      <c r="I731" s="263"/>
      <c r="J731" s="97">
        <f>D731</f>
        <v>1</v>
      </c>
    </row>
    <row r="732" spans="1:10" ht="14.25">
      <c r="A732" s="43"/>
      <c r="B732" s="49" t="s">
        <v>462</v>
      </c>
      <c r="C732" s="44"/>
      <c r="D732" s="263">
        <v>1</v>
      </c>
      <c r="E732" s="263"/>
      <c r="F732" s="263"/>
      <c r="G732" s="263"/>
      <c r="H732" s="263"/>
      <c r="I732" s="263"/>
      <c r="J732" s="97">
        <f>D732</f>
        <v>1</v>
      </c>
    </row>
    <row r="733" spans="1:10" ht="14.25">
      <c r="A733" s="43"/>
      <c r="B733" s="49" t="s">
        <v>301</v>
      </c>
      <c r="C733" s="44"/>
      <c r="D733" s="263">
        <v>1</v>
      </c>
      <c r="E733" s="263"/>
      <c r="F733" s="263"/>
      <c r="G733" s="263"/>
      <c r="H733" s="263"/>
      <c r="I733" s="263"/>
      <c r="J733" s="97"/>
    </row>
    <row r="734" spans="1:10" ht="14.25">
      <c r="A734" s="43"/>
      <c r="B734" s="49"/>
      <c r="C734" s="44"/>
      <c r="D734" s="263"/>
      <c r="E734" s="263"/>
      <c r="F734" s="263"/>
      <c r="G734" s="263"/>
      <c r="H734" s="263"/>
      <c r="I734" s="263"/>
      <c r="J734" s="97"/>
    </row>
    <row r="735" spans="1:10" ht="14.25">
      <c r="A735" s="53"/>
      <c r="B735" s="47"/>
      <c r="C735" s="54"/>
      <c r="D735" s="261"/>
      <c r="E735" s="261"/>
      <c r="F735" s="261"/>
      <c r="G735" s="261"/>
      <c r="H735" s="261"/>
      <c r="I735" s="262"/>
      <c r="J735" s="100"/>
    </row>
    <row r="736" spans="1:10" ht="14.25">
      <c r="A736" s="297" t="s">
        <v>80</v>
      </c>
      <c r="B736" s="246" t="s">
        <v>147</v>
      </c>
      <c r="C736" s="247"/>
      <c r="D736" s="277"/>
      <c r="E736" s="263"/>
      <c r="F736" s="263"/>
      <c r="G736" s="263"/>
      <c r="H736" s="263"/>
      <c r="I736" s="263"/>
      <c r="J736" s="97"/>
    </row>
    <row r="737" spans="1:10" ht="15">
      <c r="A737" s="298" t="s">
        <v>365</v>
      </c>
      <c r="B737" s="244" t="s">
        <v>386</v>
      </c>
      <c r="C737" s="245" t="s">
        <v>216</v>
      </c>
      <c r="D737" s="260" t="s">
        <v>208</v>
      </c>
      <c r="E737" s="260" t="s">
        <v>209</v>
      </c>
      <c r="F737" s="260" t="s">
        <v>210</v>
      </c>
      <c r="G737" s="260" t="s">
        <v>211</v>
      </c>
      <c r="H737" s="260" t="s">
        <v>212</v>
      </c>
      <c r="I737" s="260" t="s">
        <v>213</v>
      </c>
      <c r="J737" s="85">
        <f>SUM(J738:J741)</f>
        <v>3.78</v>
      </c>
    </row>
    <row r="738" spans="1:10" ht="14.25">
      <c r="A738" s="43"/>
      <c r="B738" s="37" t="s">
        <v>301</v>
      </c>
      <c r="C738" s="44"/>
      <c r="D738" s="263">
        <v>1</v>
      </c>
      <c r="E738" s="263">
        <v>1.7</v>
      </c>
      <c r="F738" s="263">
        <v>0.65</v>
      </c>
      <c r="G738" s="263"/>
      <c r="H738" s="263"/>
      <c r="I738" s="263"/>
      <c r="J738" s="97">
        <f>D738*E738*F738</f>
        <v>1.11</v>
      </c>
    </row>
    <row r="739" spans="1:10" ht="14.25">
      <c r="A739" s="43"/>
      <c r="B739" s="49"/>
      <c r="C739" s="44"/>
      <c r="D739" s="263">
        <v>1</v>
      </c>
      <c r="E739" s="263">
        <v>0.45</v>
      </c>
      <c r="F739" s="263">
        <v>0.65</v>
      </c>
      <c r="G739" s="263"/>
      <c r="H739" s="263"/>
      <c r="I739" s="263"/>
      <c r="J739" s="97">
        <f>D739*E739*F739</f>
        <v>0.29</v>
      </c>
    </row>
    <row r="740" spans="1:10" ht="14.25">
      <c r="A740" s="43"/>
      <c r="B740" s="49" t="s">
        <v>603</v>
      </c>
      <c r="C740" s="44"/>
      <c r="D740" s="263">
        <v>1</v>
      </c>
      <c r="E740" s="263">
        <v>1.83</v>
      </c>
      <c r="F740" s="263">
        <v>0.65</v>
      </c>
      <c r="G740" s="263"/>
      <c r="H740" s="263"/>
      <c r="I740" s="263"/>
      <c r="J740" s="97">
        <f>D740*E740*F740</f>
        <v>1.19</v>
      </c>
    </row>
    <row r="741" spans="1:10" ht="14.25">
      <c r="A741" s="43"/>
      <c r="B741" s="49" t="s">
        <v>462</v>
      </c>
      <c r="C741" s="44"/>
      <c r="D741" s="263">
        <v>1</v>
      </c>
      <c r="E741" s="263">
        <v>1.83</v>
      </c>
      <c r="F741" s="263">
        <v>0.65</v>
      </c>
      <c r="G741" s="263"/>
      <c r="H741" s="263"/>
      <c r="I741" s="263"/>
      <c r="J741" s="97">
        <f>D741*E741*F741</f>
        <v>1.19</v>
      </c>
    </row>
    <row r="742" spans="1:10" ht="14.25">
      <c r="A742" s="43"/>
      <c r="B742" s="49"/>
      <c r="C742" s="44"/>
      <c r="D742" s="263"/>
      <c r="E742" s="263"/>
      <c r="F742" s="263"/>
      <c r="G742" s="263"/>
      <c r="H742" s="263"/>
      <c r="I742" s="263"/>
      <c r="J742" s="97"/>
    </row>
    <row r="743" spans="1:10" ht="14.25">
      <c r="A743" s="53"/>
      <c r="B743" s="47"/>
      <c r="C743" s="54"/>
      <c r="D743" s="261"/>
      <c r="E743" s="261"/>
      <c r="F743" s="261"/>
      <c r="G743" s="261"/>
      <c r="H743" s="261"/>
      <c r="I743" s="262"/>
      <c r="J743" s="100"/>
    </row>
    <row r="744" spans="1:10" ht="14.25">
      <c r="A744" s="53"/>
      <c r="B744" s="47"/>
      <c r="C744" s="54"/>
      <c r="D744" s="261"/>
      <c r="E744" s="261"/>
      <c r="F744" s="261"/>
      <c r="G744" s="261"/>
      <c r="H744" s="261"/>
      <c r="I744" s="262"/>
      <c r="J744" s="100"/>
    </row>
    <row r="745" spans="1:10" ht="14.25">
      <c r="A745" s="297" t="s">
        <v>149</v>
      </c>
      <c r="B745" s="246" t="s">
        <v>27</v>
      </c>
      <c r="C745" s="247"/>
      <c r="D745" s="277"/>
      <c r="E745" s="263"/>
      <c r="F745" s="263"/>
      <c r="G745" s="263"/>
      <c r="H745" s="263"/>
      <c r="I745" s="263"/>
      <c r="J745" s="97"/>
    </row>
    <row r="746" spans="1:10" ht="57">
      <c r="A746" s="298" t="s">
        <v>366</v>
      </c>
      <c r="B746" s="244" t="s">
        <v>387</v>
      </c>
      <c r="C746" s="245" t="s">
        <v>216</v>
      </c>
      <c r="D746" s="260" t="s">
        <v>208</v>
      </c>
      <c r="E746" s="260" t="s">
        <v>209</v>
      </c>
      <c r="F746" s="260" t="s">
        <v>210</v>
      </c>
      <c r="G746" s="260" t="s">
        <v>211</v>
      </c>
      <c r="H746" s="260" t="s">
        <v>212</v>
      </c>
      <c r="I746" s="260" t="s">
        <v>213</v>
      </c>
      <c r="J746" s="85">
        <f>J747</f>
        <v>693.63</v>
      </c>
    </row>
    <row r="747" spans="1:10" ht="14.25">
      <c r="A747" s="43"/>
      <c r="B747" s="49" t="s">
        <v>374</v>
      </c>
      <c r="C747" s="44"/>
      <c r="D747" s="263"/>
      <c r="E747" s="263"/>
      <c r="F747" s="263"/>
      <c r="G747" s="263"/>
      <c r="H747" s="263">
        <f>J469</f>
        <v>693.63</v>
      </c>
      <c r="I747" s="263"/>
      <c r="J747" s="97">
        <f>H747</f>
        <v>693.63</v>
      </c>
    </row>
    <row r="748" spans="1:10" ht="14.25">
      <c r="A748" s="43"/>
      <c r="B748" s="49"/>
      <c r="C748" s="44"/>
      <c r="D748" s="263"/>
      <c r="E748" s="263"/>
      <c r="F748" s="263"/>
      <c r="G748" s="263"/>
      <c r="H748" s="263"/>
      <c r="I748" s="263"/>
      <c r="J748" s="97"/>
    </row>
    <row r="749" spans="1:10" ht="14.25">
      <c r="A749" s="53"/>
      <c r="B749" s="47"/>
      <c r="C749" s="54"/>
      <c r="D749" s="261"/>
      <c r="E749" s="261"/>
      <c r="F749" s="261"/>
      <c r="G749" s="261"/>
      <c r="H749" s="261"/>
      <c r="I749" s="262"/>
      <c r="J749" s="100"/>
    </row>
    <row r="750" spans="1:10" ht="57">
      <c r="A750" s="250" t="s">
        <v>693</v>
      </c>
      <c r="B750" s="244" t="s">
        <v>388</v>
      </c>
      <c r="C750" s="245" t="s">
        <v>216</v>
      </c>
      <c r="D750" s="260" t="s">
        <v>208</v>
      </c>
      <c r="E750" s="260" t="s">
        <v>209</v>
      </c>
      <c r="F750" s="260" t="s">
        <v>210</v>
      </c>
      <c r="G750" s="260" t="s">
        <v>211</v>
      </c>
      <c r="H750" s="260" t="s">
        <v>212</v>
      </c>
      <c r="I750" s="260" t="s">
        <v>213</v>
      </c>
      <c r="J750" s="85">
        <f>SUM(J751:J766)</f>
        <v>1509.61</v>
      </c>
    </row>
    <row r="751" spans="1:10" ht="14.25">
      <c r="A751" s="43"/>
      <c r="B751" s="49" t="s">
        <v>374</v>
      </c>
      <c r="C751" s="44"/>
      <c r="D751" s="263"/>
      <c r="E751" s="263"/>
      <c r="F751" s="263"/>
      <c r="G751" s="263"/>
      <c r="H751" s="263">
        <f>H747</f>
        <v>693.63</v>
      </c>
      <c r="I751" s="263"/>
      <c r="J751" s="97">
        <f>H751</f>
        <v>693.63</v>
      </c>
    </row>
    <row r="752" spans="1:10" ht="14.25">
      <c r="A752" s="43"/>
      <c r="B752" s="86" t="s">
        <v>375</v>
      </c>
      <c r="C752" s="44"/>
      <c r="D752" s="263"/>
      <c r="E752" s="263"/>
      <c r="F752" s="263"/>
      <c r="G752" s="263"/>
      <c r="H752" s="263"/>
      <c r="I752" s="263"/>
      <c r="J752" s="97"/>
    </row>
    <row r="753" spans="1:10" ht="14.25">
      <c r="A753" s="43"/>
      <c r="B753" s="49" t="s">
        <v>569</v>
      </c>
      <c r="C753" s="44"/>
      <c r="D753" s="263"/>
      <c r="E753" s="263"/>
      <c r="F753" s="263"/>
      <c r="G753" s="263"/>
      <c r="H753" s="263"/>
      <c r="I753" s="263"/>
      <c r="J753" s="97"/>
    </row>
    <row r="754" spans="1:10" ht="14.25">
      <c r="A754" s="479"/>
      <c r="B754" s="49" t="s">
        <v>570</v>
      </c>
      <c r="C754" s="44"/>
      <c r="D754" s="263">
        <v>2</v>
      </c>
      <c r="E754" s="263">
        <v>15.93</v>
      </c>
      <c r="F754" s="263"/>
      <c r="G754" s="263">
        <v>2.8</v>
      </c>
      <c r="H754" s="263"/>
      <c r="I754" s="263"/>
      <c r="J754" s="97">
        <f aca="true" t="shared" si="26" ref="J754:J761">G754*E754*D754</f>
        <v>89.21</v>
      </c>
    </row>
    <row r="755" spans="1:10" ht="14.25">
      <c r="A755" s="43"/>
      <c r="B755" s="49"/>
      <c r="C755" s="44"/>
      <c r="D755" s="263">
        <v>1</v>
      </c>
      <c r="E755" s="263">
        <v>15.93</v>
      </c>
      <c r="F755" s="263"/>
      <c r="G755" s="263">
        <v>1.45</v>
      </c>
      <c r="H755" s="263"/>
      <c r="I755" s="263"/>
      <c r="J755" s="97">
        <f t="shared" si="26"/>
        <v>23.1</v>
      </c>
    </row>
    <row r="756" spans="1:10" ht="14.25">
      <c r="A756" s="43"/>
      <c r="B756" s="49"/>
      <c r="C756" s="44"/>
      <c r="D756" s="263">
        <v>2</v>
      </c>
      <c r="E756" s="263">
        <v>3.53</v>
      </c>
      <c r="F756" s="263"/>
      <c r="G756" s="263">
        <v>2.8</v>
      </c>
      <c r="H756" s="263"/>
      <c r="I756" s="263"/>
      <c r="J756" s="97">
        <f t="shared" si="26"/>
        <v>19.77</v>
      </c>
    </row>
    <row r="757" spans="1:10" ht="14.25">
      <c r="A757" s="43"/>
      <c r="B757" s="49"/>
      <c r="C757" s="44"/>
      <c r="D757" s="263">
        <v>1</v>
      </c>
      <c r="E757" s="263">
        <v>3.53</v>
      </c>
      <c r="F757" s="263"/>
      <c r="G757" s="263">
        <v>1.45</v>
      </c>
      <c r="H757" s="263"/>
      <c r="I757" s="263"/>
      <c r="J757" s="97">
        <f t="shared" si="26"/>
        <v>5.12</v>
      </c>
    </row>
    <row r="758" spans="1:10" ht="14.25">
      <c r="A758" s="43"/>
      <c r="B758" s="49" t="s">
        <v>571</v>
      </c>
      <c r="C758" s="44"/>
      <c r="D758" s="263">
        <v>2</v>
      </c>
      <c r="E758" s="263">
        <v>11.58</v>
      </c>
      <c r="F758" s="263"/>
      <c r="G758" s="263">
        <v>2.8</v>
      </c>
      <c r="H758" s="263"/>
      <c r="I758" s="263"/>
      <c r="J758" s="97">
        <f t="shared" si="26"/>
        <v>64.85</v>
      </c>
    </row>
    <row r="759" spans="1:10" ht="14.25">
      <c r="A759" s="43"/>
      <c r="B759" s="49"/>
      <c r="C759" s="44"/>
      <c r="D759" s="263">
        <v>1</v>
      </c>
      <c r="E759" s="263">
        <v>11.58</v>
      </c>
      <c r="F759" s="263"/>
      <c r="G759" s="263">
        <v>1.45</v>
      </c>
      <c r="H759" s="263"/>
      <c r="I759" s="263"/>
      <c r="J759" s="97">
        <f t="shared" si="26"/>
        <v>16.79</v>
      </c>
    </row>
    <row r="760" spans="1:10" ht="14.25">
      <c r="A760" s="43"/>
      <c r="B760" s="49" t="s">
        <v>572</v>
      </c>
      <c r="C760" s="44"/>
      <c r="D760" s="263">
        <v>2</v>
      </c>
      <c r="E760" s="263">
        <v>25.54</v>
      </c>
      <c r="F760" s="263"/>
      <c r="G760" s="263">
        <v>2.8</v>
      </c>
      <c r="H760" s="263"/>
      <c r="I760" s="263"/>
      <c r="J760" s="97">
        <f t="shared" si="26"/>
        <v>143.02</v>
      </c>
    </row>
    <row r="761" spans="1:10" ht="14.25">
      <c r="A761" s="43"/>
      <c r="B761" s="49"/>
      <c r="C761" s="44"/>
      <c r="D761" s="263">
        <v>1</v>
      </c>
      <c r="E761" s="263">
        <v>25.54</v>
      </c>
      <c r="F761" s="263"/>
      <c r="G761" s="263">
        <v>1.45</v>
      </c>
      <c r="H761" s="263"/>
      <c r="I761" s="263"/>
      <c r="J761" s="97">
        <f t="shared" si="26"/>
        <v>37.03</v>
      </c>
    </row>
    <row r="762" spans="1:10" ht="14.25">
      <c r="A762" s="43"/>
      <c r="B762" s="49"/>
      <c r="C762" s="44"/>
      <c r="D762" s="263"/>
      <c r="E762" s="263"/>
      <c r="F762" s="263"/>
      <c r="G762" s="263"/>
      <c r="H762" s="263"/>
      <c r="I762" s="263"/>
      <c r="J762" s="97"/>
    </row>
    <row r="763" spans="1:10" ht="14.25">
      <c r="A763" s="43"/>
      <c r="B763" s="49" t="s">
        <v>573</v>
      </c>
      <c r="C763" s="44"/>
      <c r="D763" s="263"/>
      <c r="E763" s="263"/>
      <c r="F763" s="263"/>
      <c r="G763" s="263"/>
      <c r="H763" s="263"/>
      <c r="I763" s="263"/>
      <c r="J763" s="97"/>
    </row>
    <row r="764" spans="1:10" ht="14.25">
      <c r="A764" s="43"/>
      <c r="B764" s="49" t="s">
        <v>575</v>
      </c>
      <c r="C764" s="44"/>
      <c r="D764" s="263">
        <v>2</v>
      </c>
      <c r="E764" s="263">
        <f>3.45+1.14+0.29+2.75+3.04+1.33+3.31+3.31+3.46+3.46+14.7+8.24+8.24+2.26+4.5+7.05+3.95</f>
        <v>74.48</v>
      </c>
      <c r="F764" s="263"/>
      <c r="G764" s="263">
        <v>2.8</v>
      </c>
      <c r="H764" s="263"/>
      <c r="I764" s="263"/>
      <c r="J764" s="97">
        <f>G764*E764*D764</f>
        <v>417.09</v>
      </c>
    </row>
    <row r="765" spans="1:10" ht="14.25">
      <c r="A765" s="43"/>
      <c r="B765" s="49" t="s">
        <v>574</v>
      </c>
      <c r="C765" s="44"/>
      <c r="D765" s="263"/>
      <c r="E765" s="263"/>
      <c r="F765" s="263"/>
      <c r="G765" s="263"/>
      <c r="H765" s="263"/>
      <c r="I765" s="263"/>
      <c r="J765" s="97"/>
    </row>
    <row r="766" spans="1:10" ht="14.25">
      <c r="A766" s="43"/>
      <c r="B766" s="49"/>
      <c r="C766" s="44"/>
      <c r="D766" s="263"/>
      <c r="E766" s="263"/>
      <c r="F766" s="263"/>
      <c r="G766" s="263"/>
      <c r="H766" s="263"/>
      <c r="I766" s="263"/>
      <c r="J766" s="97"/>
    </row>
    <row r="767" spans="1:10" ht="14.25">
      <c r="A767" s="53"/>
      <c r="B767" s="47"/>
      <c r="C767" s="54"/>
      <c r="D767" s="261"/>
      <c r="E767" s="261"/>
      <c r="F767" s="261"/>
      <c r="G767" s="261"/>
      <c r="H767" s="261"/>
      <c r="I767" s="262"/>
      <c r="J767" s="100"/>
    </row>
    <row r="768" spans="1:11" ht="57">
      <c r="A768" s="250" t="s">
        <v>694</v>
      </c>
      <c r="B768" s="244" t="s">
        <v>389</v>
      </c>
      <c r="C768" s="245" t="s">
        <v>216</v>
      </c>
      <c r="D768" s="260" t="s">
        <v>208</v>
      </c>
      <c r="E768" s="260" t="s">
        <v>209</v>
      </c>
      <c r="F768" s="260" t="s">
        <v>210</v>
      </c>
      <c r="G768" s="260" t="s">
        <v>211</v>
      </c>
      <c r="H768" s="260" t="s">
        <v>212</v>
      </c>
      <c r="I768" s="260" t="s">
        <v>213</v>
      </c>
      <c r="J768" s="85">
        <f>SUM(J769:J783)</f>
        <v>195.67</v>
      </c>
      <c r="K768" s="38">
        <v>2.5</v>
      </c>
    </row>
    <row r="769" spans="1:10" ht="14.25">
      <c r="A769" s="43"/>
      <c r="B769" s="49" t="s">
        <v>271</v>
      </c>
      <c r="C769" s="44"/>
      <c r="D769" s="263">
        <v>3</v>
      </c>
      <c r="E769" s="263"/>
      <c r="F769" s="263">
        <v>1.6</v>
      </c>
      <c r="G769" s="263">
        <v>1.6</v>
      </c>
      <c r="H769" s="263"/>
      <c r="I769" s="263"/>
      <c r="J769" s="99">
        <f aca="true" t="shared" si="27" ref="J769:J782">(D769*F769*G769)*$K$768</f>
        <v>19.2</v>
      </c>
    </row>
    <row r="770" spans="1:10" ht="14.25">
      <c r="A770" s="43"/>
      <c r="B770" s="49" t="s">
        <v>272</v>
      </c>
      <c r="C770" s="44"/>
      <c r="D770" s="263">
        <v>2</v>
      </c>
      <c r="E770" s="263"/>
      <c r="F770" s="263">
        <v>2.6</v>
      </c>
      <c r="G770" s="263">
        <v>1.6</v>
      </c>
      <c r="H770" s="263"/>
      <c r="I770" s="263"/>
      <c r="J770" s="99">
        <f t="shared" si="27"/>
        <v>20.8</v>
      </c>
    </row>
    <row r="771" spans="1:10" ht="14.25">
      <c r="A771" s="43"/>
      <c r="B771" s="49" t="s">
        <v>273</v>
      </c>
      <c r="C771" s="44"/>
      <c r="D771" s="263">
        <v>4</v>
      </c>
      <c r="E771" s="263"/>
      <c r="F771" s="263">
        <v>1.6</v>
      </c>
      <c r="G771" s="263">
        <v>1.11</v>
      </c>
      <c r="H771" s="263"/>
      <c r="I771" s="263"/>
      <c r="J771" s="99">
        <f t="shared" si="27"/>
        <v>17.76</v>
      </c>
    </row>
    <row r="772" spans="1:10" ht="14.25">
      <c r="A772" s="43"/>
      <c r="B772" s="49" t="s">
        <v>274</v>
      </c>
      <c r="C772" s="44"/>
      <c r="D772" s="263">
        <v>4</v>
      </c>
      <c r="E772" s="263"/>
      <c r="F772" s="263">
        <v>2</v>
      </c>
      <c r="G772" s="263">
        <v>1.1</v>
      </c>
      <c r="H772" s="263"/>
      <c r="I772" s="263"/>
      <c r="J772" s="99">
        <f t="shared" si="27"/>
        <v>22</v>
      </c>
    </row>
    <row r="773" spans="1:10" ht="14.25">
      <c r="A773" s="43"/>
      <c r="B773" s="49" t="s">
        <v>275</v>
      </c>
      <c r="C773" s="44"/>
      <c r="D773" s="263">
        <v>3</v>
      </c>
      <c r="E773" s="263"/>
      <c r="F773" s="263">
        <v>2</v>
      </c>
      <c r="G773" s="263">
        <v>1.1</v>
      </c>
      <c r="H773" s="263"/>
      <c r="I773" s="263"/>
      <c r="J773" s="99">
        <f t="shared" si="27"/>
        <v>16.5</v>
      </c>
    </row>
    <row r="774" spans="1:10" ht="14.25">
      <c r="A774" s="43"/>
      <c r="B774" s="49" t="s">
        <v>276</v>
      </c>
      <c r="C774" s="44"/>
      <c r="D774" s="263">
        <v>1</v>
      </c>
      <c r="E774" s="263"/>
      <c r="F774" s="263">
        <v>1.1</v>
      </c>
      <c r="G774" s="263">
        <v>1.1</v>
      </c>
      <c r="H774" s="263"/>
      <c r="I774" s="263"/>
      <c r="J774" s="99">
        <f t="shared" si="27"/>
        <v>3.03</v>
      </c>
    </row>
    <row r="775" spans="1:10" ht="14.25">
      <c r="A775" s="43"/>
      <c r="B775" s="49" t="s">
        <v>277</v>
      </c>
      <c r="C775" s="44"/>
      <c r="D775" s="263">
        <v>2</v>
      </c>
      <c r="E775" s="263"/>
      <c r="F775" s="263">
        <v>3</v>
      </c>
      <c r="G775" s="263">
        <v>1.6</v>
      </c>
      <c r="H775" s="263"/>
      <c r="I775" s="263"/>
      <c r="J775" s="99">
        <f t="shared" si="27"/>
        <v>24</v>
      </c>
    </row>
    <row r="776" spans="1:10" ht="14.25">
      <c r="A776" s="43"/>
      <c r="B776" s="49" t="s">
        <v>278</v>
      </c>
      <c r="C776" s="44"/>
      <c r="D776" s="263">
        <v>4</v>
      </c>
      <c r="E776" s="263"/>
      <c r="F776" s="263">
        <v>1</v>
      </c>
      <c r="G776" s="263">
        <v>1.6</v>
      </c>
      <c r="H776" s="263"/>
      <c r="I776" s="263"/>
      <c r="J776" s="99">
        <f t="shared" si="27"/>
        <v>16</v>
      </c>
    </row>
    <row r="777" spans="1:10" ht="14.25">
      <c r="A777" s="43"/>
      <c r="B777" s="49" t="s">
        <v>279</v>
      </c>
      <c r="C777" s="44"/>
      <c r="D777" s="263">
        <v>1</v>
      </c>
      <c r="E777" s="263"/>
      <c r="F777" s="263">
        <v>1.25</v>
      </c>
      <c r="G777" s="263">
        <v>1.6</v>
      </c>
      <c r="H777" s="263"/>
      <c r="I777" s="263"/>
      <c r="J777" s="99">
        <f t="shared" si="27"/>
        <v>5</v>
      </c>
    </row>
    <row r="778" spans="1:10" ht="14.25">
      <c r="A778" s="43"/>
      <c r="B778" s="49" t="s">
        <v>280</v>
      </c>
      <c r="C778" s="44"/>
      <c r="D778" s="263">
        <v>1</v>
      </c>
      <c r="E778" s="263"/>
      <c r="F778" s="263">
        <v>2</v>
      </c>
      <c r="G778" s="263">
        <v>1.6</v>
      </c>
      <c r="H778" s="263"/>
      <c r="I778" s="263"/>
      <c r="J778" s="99">
        <f t="shared" si="27"/>
        <v>8</v>
      </c>
    </row>
    <row r="779" spans="1:10" ht="14.25">
      <c r="A779" s="43"/>
      <c r="B779" s="49" t="s">
        <v>281</v>
      </c>
      <c r="C779" s="44"/>
      <c r="D779" s="263">
        <v>1</v>
      </c>
      <c r="E779" s="263"/>
      <c r="F779" s="263">
        <v>1.35</v>
      </c>
      <c r="G779" s="263">
        <v>1.6</v>
      </c>
      <c r="H779" s="263"/>
      <c r="I779" s="263"/>
      <c r="J779" s="99">
        <f t="shared" si="27"/>
        <v>5.4</v>
      </c>
    </row>
    <row r="780" spans="1:10" ht="14.25">
      <c r="A780" s="43"/>
      <c r="B780" s="49" t="s">
        <v>282</v>
      </c>
      <c r="C780" s="44"/>
      <c r="D780" s="263">
        <v>1</v>
      </c>
      <c r="E780" s="263"/>
      <c r="F780" s="263">
        <v>1.65</v>
      </c>
      <c r="G780" s="263">
        <v>1.6</v>
      </c>
      <c r="H780" s="263"/>
      <c r="I780" s="263"/>
      <c r="J780" s="99">
        <f t="shared" si="27"/>
        <v>6.6</v>
      </c>
    </row>
    <row r="781" spans="1:10" ht="14.25">
      <c r="A781" s="43"/>
      <c r="B781" s="49" t="s">
        <v>283</v>
      </c>
      <c r="C781" s="44"/>
      <c r="D781" s="263">
        <v>7</v>
      </c>
      <c r="E781" s="263"/>
      <c r="F781" s="263">
        <v>1.5</v>
      </c>
      <c r="G781" s="263">
        <v>1.1</v>
      </c>
      <c r="H781" s="263"/>
      <c r="I781" s="263"/>
      <c r="J781" s="99">
        <f t="shared" si="27"/>
        <v>28.88</v>
      </c>
    </row>
    <row r="782" spans="1:10" ht="14.25">
      <c r="A782" s="43"/>
      <c r="B782" s="49" t="s">
        <v>284</v>
      </c>
      <c r="C782" s="44"/>
      <c r="D782" s="263">
        <v>1</v>
      </c>
      <c r="E782" s="263"/>
      <c r="F782" s="263">
        <v>1</v>
      </c>
      <c r="G782" s="263">
        <v>1</v>
      </c>
      <c r="H782" s="263"/>
      <c r="I782" s="263"/>
      <c r="J782" s="99">
        <f t="shared" si="27"/>
        <v>2.5</v>
      </c>
    </row>
    <row r="783" spans="1:10" ht="28.5">
      <c r="A783" s="43"/>
      <c r="B783" s="111" t="s">
        <v>390</v>
      </c>
      <c r="C783" s="44"/>
      <c r="D783" s="263"/>
      <c r="E783" s="263"/>
      <c r="F783" s="263"/>
      <c r="G783" s="263"/>
      <c r="H783" s="263"/>
      <c r="I783" s="263"/>
      <c r="J783" s="97"/>
    </row>
    <row r="784" spans="1:10" ht="14.25">
      <c r="A784" s="43"/>
      <c r="B784" s="49"/>
      <c r="C784" s="44"/>
      <c r="D784" s="263"/>
      <c r="E784" s="263"/>
      <c r="F784" s="263"/>
      <c r="G784" s="263"/>
      <c r="H784" s="263"/>
      <c r="I784" s="263"/>
      <c r="J784" s="97"/>
    </row>
    <row r="785" spans="1:10" ht="14.25">
      <c r="A785" s="53"/>
      <c r="B785" s="47"/>
      <c r="C785" s="54"/>
      <c r="D785" s="261"/>
      <c r="E785" s="261"/>
      <c r="F785" s="261"/>
      <c r="G785" s="261"/>
      <c r="H785" s="261"/>
      <c r="I785" s="262"/>
      <c r="J785" s="100"/>
    </row>
    <row r="786" spans="1:10" ht="14.25">
      <c r="A786" s="297" t="s">
        <v>151</v>
      </c>
      <c r="B786" s="246" t="s">
        <v>154</v>
      </c>
      <c r="C786" s="247"/>
      <c r="D786" s="277"/>
      <c r="E786" s="263"/>
      <c r="F786" s="263"/>
      <c r="G786" s="263"/>
      <c r="H786" s="263"/>
      <c r="I786" s="263"/>
      <c r="J786" s="97"/>
    </row>
    <row r="787" spans="1:10" ht="42.75">
      <c r="A787" s="298" t="s">
        <v>367</v>
      </c>
      <c r="B787" s="244" t="s">
        <v>391</v>
      </c>
      <c r="C787" s="245" t="s">
        <v>220</v>
      </c>
      <c r="D787" s="260" t="s">
        <v>208</v>
      </c>
      <c r="E787" s="260" t="s">
        <v>209</v>
      </c>
      <c r="F787" s="260" t="s">
        <v>210</v>
      </c>
      <c r="G787" s="260" t="s">
        <v>211</v>
      </c>
      <c r="H787" s="260" t="s">
        <v>212</v>
      </c>
      <c r="I787" s="260" t="s">
        <v>213</v>
      </c>
      <c r="J787" s="85">
        <f>J789</f>
        <v>16.45</v>
      </c>
    </row>
    <row r="788" spans="1:10" ht="14.25">
      <c r="A788" s="43"/>
      <c r="B788" s="64" t="s">
        <v>454</v>
      </c>
      <c r="C788" s="44"/>
      <c r="D788" s="263"/>
      <c r="E788" s="263"/>
      <c r="F788" s="263"/>
      <c r="G788" s="263"/>
      <c r="H788" s="263"/>
      <c r="I788" s="263"/>
      <c r="J788" s="97"/>
    </row>
    <row r="789" spans="1:10" ht="14.25">
      <c r="A789" s="43"/>
      <c r="B789" s="49" t="s">
        <v>555</v>
      </c>
      <c r="C789" s="44"/>
      <c r="D789" s="263"/>
      <c r="E789" s="263">
        <f>2.7+1.35+3.64+4.2+4.56</f>
        <v>16.45</v>
      </c>
      <c r="F789" s="263"/>
      <c r="G789" s="263"/>
      <c r="H789" s="263"/>
      <c r="I789" s="263"/>
      <c r="J789" s="97">
        <f>E789</f>
        <v>16.45</v>
      </c>
    </row>
    <row r="790" spans="1:10" ht="14.25">
      <c r="A790" s="43"/>
      <c r="B790" s="49"/>
      <c r="C790" s="44"/>
      <c r="D790" s="263"/>
      <c r="E790" s="263"/>
      <c r="F790" s="263"/>
      <c r="G790" s="263"/>
      <c r="H790" s="263"/>
      <c r="I790" s="263"/>
      <c r="J790" s="97"/>
    </row>
    <row r="791" spans="1:10" ht="14.25">
      <c r="A791" s="53"/>
      <c r="B791" s="47"/>
      <c r="C791" s="54"/>
      <c r="D791" s="261"/>
      <c r="E791" s="261"/>
      <c r="F791" s="261"/>
      <c r="G791" s="261"/>
      <c r="H791" s="261"/>
      <c r="I791" s="262"/>
      <c r="J791" s="100"/>
    </row>
    <row r="792" spans="1:10" ht="42.75">
      <c r="A792" s="298" t="s">
        <v>368</v>
      </c>
      <c r="B792" s="244" t="s">
        <v>392</v>
      </c>
      <c r="C792" s="245" t="s">
        <v>220</v>
      </c>
      <c r="D792" s="260" t="s">
        <v>208</v>
      </c>
      <c r="E792" s="260" t="s">
        <v>209</v>
      </c>
      <c r="F792" s="260" t="s">
        <v>210</v>
      </c>
      <c r="G792" s="260" t="s">
        <v>211</v>
      </c>
      <c r="H792" s="260" t="s">
        <v>212</v>
      </c>
      <c r="I792" s="260" t="s">
        <v>213</v>
      </c>
      <c r="J792" s="85">
        <f>J794</f>
        <v>16.45</v>
      </c>
    </row>
    <row r="793" spans="1:10" ht="14.25">
      <c r="A793" s="43"/>
      <c r="B793" s="64" t="s">
        <v>454</v>
      </c>
      <c r="C793" s="44"/>
      <c r="D793" s="263"/>
      <c r="E793" s="263"/>
      <c r="F793" s="263"/>
      <c r="G793" s="263"/>
      <c r="H793" s="263"/>
      <c r="I793" s="263"/>
      <c r="J793" s="97"/>
    </row>
    <row r="794" spans="1:10" ht="14.25">
      <c r="A794" s="43"/>
      <c r="B794" s="49" t="s">
        <v>555</v>
      </c>
      <c r="C794" s="44"/>
      <c r="D794" s="263"/>
      <c r="E794" s="263">
        <f>2.7+1.35+3.64+4.2+4.56</f>
        <v>16.45</v>
      </c>
      <c r="F794" s="263"/>
      <c r="G794" s="263"/>
      <c r="H794" s="263"/>
      <c r="I794" s="263"/>
      <c r="J794" s="97">
        <f>E794</f>
        <v>16.45</v>
      </c>
    </row>
    <row r="795" spans="1:10" ht="14.25">
      <c r="A795" s="43"/>
      <c r="B795" s="49"/>
      <c r="C795" s="44"/>
      <c r="D795" s="263"/>
      <c r="E795" s="263"/>
      <c r="F795" s="263"/>
      <c r="G795" s="263"/>
      <c r="H795" s="263"/>
      <c r="I795" s="263"/>
      <c r="J795" s="97"/>
    </row>
    <row r="796" spans="1:10" ht="42" customHeight="1">
      <c r="A796" s="53"/>
      <c r="B796" s="47"/>
      <c r="C796" s="54"/>
      <c r="D796" s="261"/>
      <c r="E796" s="261"/>
      <c r="F796" s="261"/>
      <c r="G796" s="261"/>
      <c r="H796" s="261"/>
      <c r="I796" s="262"/>
      <c r="J796" s="100"/>
    </row>
    <row r="797" spans="1:10" ht="14.25">
      <c r="A797" s="297" t="s">
        <v>187</v>
      </c>
      <c r="B797" s="246" t="s">
        <v>28</v>
      </c>
      <c r="C797" s="247"/>
      <c r="D797" s="277"/>
      <c r="E797" s="263"/>
      <c r="F797" s="263"/>
      <c r="G797" s="263"/>
      <c r="H797" s="263"/>
      <c r="I797" s="263"/>
      <c r="J797" s="97"/>
    </row>
    <row r="798" spans="1:10" ht="15">
      <c r="A798" s="298" t="s">
        <v>327</v>
      </c>
      <c r="B798" s="244" t="s">
        <v>393</v>
      </c>
      <c r="C798" s="245" t="s">
        <v>216</v>
      </c>
      <c r="D798" s="260" t="s">
        <v>208</v>
      </c>
      <c r="E798" s="260" t="s">
        <v>209</v>
      </c>
      <c r="F798" s="260" t="s">
        <v>210</v>
      </c>
      <c r="G798" s="260" t="s">
        <v>211</v>
      </c>
      <c r="H798" s="260" t="s">
        <v>212</v>
      </c>
      <c r="I798" s="260" t="s">
        <v>213</v>
      </c>
      <c r="J798" s="85">
        <f>J799</f>
        <v>432.52</v>
      </c>
    </row>
    <row r="799" spans="1:10" ht="28.5">
      <c r="A799" s="43"/>
      <c r="B799" s="64" t="s">
        <v>554</v>
      </c>
      <c r="C799" s="44"/>
      <c r="D799" s="263"/>
      <c r="E799" s="263"/>
      <c r="F799" s="263"/>
      <c r="G799" s="263"/>
      <c r="H799" s="263">
        <v>432.52</v>
      </c>
      <c r="I799" s="263"/>
      <c r="J799" s="97">
        <f>H799</f>
        <v>432.52</v>
      </c>
    </row>
    <row r="800" spans="1:10" ht="14.25">
      <c r="A800" s="43"/>
      <c r="B800" s="49"/>
      <c r="C800" s="44"/>
      <c r="D800" s="263"/>
      <c r="E800" s="263"/>
      <c r="F800" s="263"/>
      <c r="G800" s="263"/>
      <c r="H800" s="263"/>
      <c r="I800" s="263"/>
      <c r="J800" s="97"/>
    </row>
    <row r="801" spans="1:10" ht="15" thickBot="1">
      <c r="A801" s="81"/>
      <c r="B801" s="82"/>
      <c r="C801" s="83"/>
      <c r="D801" s="281"/>
      <c r="E801" s="281"/>
      <c r="F801" s="281"/>
      <c r="G801" s="281"/>
      <c r="H801" s="281"/>
      <c r="I801" s="282"/>
      <c r="J801" s="109"/>
    </row>
  </sheetData>
  <sheetProtection/>
  <mergeCells count="9">
    <mergeCell ref="B12:J12"/>
    <mergeCell ref="B17:J17"/>
    <mergeCell ref="A85:A98"/>
    <mergeCell ref="A1:J1"/>
    <mergeCell ref="A2:J2"/>
    <mergeCell ref="A3:J3"/>
    <mergeCell ref="A4:J4"/>
    <mergeCell ref="A5:J5"/>
    <mergeCell ref="B7:J7"/>
  </mergeCells>
  <printOptions/>
  <pageMargins left="0.5118110236220472" right="0.5118110236220472" top="0.7874015748031497" bottom="0.7874015748031497" header="0.31496062992125984" footer="0.31496062992125984"/>
  <pageSetup fitToHeight="100" fitToWidth="1" horizontalDpi="600" verticalDpi="600" orientation="portrait" paperSize="9" scale="61" r:id="rId3"/>
  <headerFooter>
    <oddFooter>&amp;L&amp;G&amp;CAvenida Getúlio Vargas, 1.710 – 7° andar - Funcionários – Belo Horizonte - MG. CEP:30112-021&amp;R&amp;P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workbookViewId="0" topLeftCell="A1">
      <selection activeCell="A2" sqref="A2:H45"/>
    </sheetView>
  </sheetViews>
  <sheetFormatPr defaultColWidth="9.00390625" defaultRowHeight="21" customHeight="1"/>
  <cols>
    <col min="1" max="1" width="13.125" style="0" customWidth="1"/>
    <col min="2" max="2" width="33.00390625" style="0" bestFit="1" customWidth="1"/>
    <col min="3" max="3" width="5.75390625" style="0" bestFit="1" customWidth="1"/>
    <col min="4" max="4" width="5.875" style="0" customWidth="1"/>
    <col min="7" max="8" width="9.00390625" style="0" customWidth="1"/>
  </cols>
  <sheetData>
    <row r="1" spans="1:8" ht="21" customHeight="1" thickBot="1">
      <c r="A1" s="528"/>
      <c r="B1" s="528"/>
      <c r="C1" s="528"/>
      <c r="D1" s="528"/>
      <c r="E1" s="528"/>
      <c r="F1" s="528"/>
      <c r="G1" s="528"/>
      <c r="H1" s="528"/>
    </row>
    <row r="2" spans="1:8" ht="15.75">
      <c r="A2" s="556" t="s">
        <v>204</v>
      </c>
      <c r="B2" s="557"/>
      <c r="C2" s="557"/>
      <c r="D2" s="557"/>
      <c r="E2" s="557"/>
      <c r="F2" s="557"/>
      <c r="G2" s="557"/>
      <c r="H2" s="558"/>
    </row>
    <row r="3" spans="1:8" ht="14.25">
      <c r="A3" s="559" t="s">
        <v>450</v>
      </c>
      <c r="B3" s="560"/>
      <c r="C3" s="560"/>
      <c r="D3" s="560"/>
      <c r="E3" s="560"/>
      <c r="F3" s="560"/>
      <c r="G3" s="560"/>
      <c r="H3" s="561"/>
    </row>
    <row r="4" spans="1:8" ht="14.25">
      <c r="A4" s="559" t="s">
        <v>322</v>
      </c>
      <c r="B4" s="560"/>
      <c r="C4" s="560"/>
      <c r="D4" s="560"/>
      <c r="E4" s="560"/>
      <c r="F4" s="560"/>
      <c r="G4" s="560"/>
      <c r="H4" s="561"/>
    </row>
    <row r="5" spans="1:8" ht="15" thickBot="1">
      <c r="A5" s="568"/>
      <c r="B5" s="569"/>
      <c r="C5" s="569"/>
      <c r="D5" s="569"/>
      <c r="E5" s="569"/>
      <c r="F5" s="569"/>
      <c r="G5" s="569"/>
      <c r="H5" s="570"/>
    </row>
    <row r="6" spans="1:8" ht="15.75">
      <c r="A6" s="562" t="s">
        <v>394</v>
      </c>
      <c r="B6" s="563"/>
      <c r="C6" s="563"/>
      <c r="D6" s="563"/>
      <c r="E6" s="563"/>
      <c r="F6" s="563"/>
      <c r="G6" s="563"/>
      <c r="H6" s="564"/>
    </row>
    <row r="7" spans="1:8" ht="15.75">
      <c r="A7" s="577"/>
      <c r="B7" s="578"/>
      <c r="C7" s="578"/>
      <c r="D7" s="578"/>
      <c r="E7" s="505"/>
      <c r="F7" s="505"/>
      <c r="G7" s="505"/>
      <c r="H7" s="506"/>
    </row>
    <row r="8" spans="1:8" ht="14.25">
      <c r="A8" s="507"/>
      <c r="B8" s="312"/>
      <c r="C8" s="312"/>
      <c r="D8" s="312"/>
      <c r="E8" s="505"/>
      <c r="F8" s="505"/>
      <c r="G8" s="505"/>
      <c r="H8" s="506"/>
    </row>
    <row r="9" spans="1:8" ht="14.25">
      <c r="A9" s="508" t="s">
        <v>395</v>
      </c>
      <c r="B9" s="579" t="s">
        <v>396</v>
      </c>
      <c r="C9" s="579"/>
      <c r="D9" s="579"/>
      <c r="E9" s="505"/>
      <c r="F9" s="505"/>
      <c r="G9" s="505"/>
      <c r="H9" s="506"/>
    </row>
    <row r="10" spans="1:8" ht="14.25">
      <c r="A10" s="508" t="s">
        <v>397</v>
      </c>
      <c r="B10" s="579" t="s">
        <v>451</v>
      </c>
      <c r="C10" s="579"/>
      <c r="D10" s="579"/>
      <c r="E10" s="505"/>
      <c r="F10" s="505"/>
      <c r="G10" s="505"/>
      <c r="H10" s="506"/>
    </row>
    <row r="11" spans="1:8" ht="14.25">
      <c r="A11" s="508" t="s">
        <v>398</v>
      </c>
      <c r="B11" s="313"/>
      <c r="C11" s="313"/>
      <c r="D11" s="313"/>
      <c r="E11" s="505"/>
      <c r="F11" s="505"/>
      <c r="G11" s="505"/>
      <c r="H11" s="506"/>
    </row>
    <row r="12" spans="1:8" ht="14.25">
      <c r="A12" s="509"/>
      <c r="B12" s="314"/>
      <c r="C12" s="510"/>
      <c r="D12" s="511"/>
      <c r="E12" s="505"/>
      <c r="F12" s="505"/>
      <c r="G12" s="505"/>
      <c r="H12" s="506"/>
    </row>
    <row r="13" spans="1:8" ht="14.25">
      <c r="A13" s="571" t="s">
        <v>399</v>
      </c>
      <c r="B13" s="572"/>
      <c r="C13" s="572"/>
      <c r="D13" s="572"/>
      <c r="E13" s="505"/>
      <c r="F13" s="505"/>
      <c r="G13" s="505"/>
      <c r="H13" s="506"/>
    </row>
    <row r="14" spans="1:8" ht="14.25">
      <c r="A14" s="514"/>
      <c r="B14" s="515"/>
      <c r="C14" s="516"/>
      <c r="D14" s="517"/>
      <c r="E14" s="505"/>
      <c r="F14" s="505"/>
      <c r="G14" s="505"/>
      <c r="H14" s="506"/>
    </row>
    <row r="15" spans="1:8" ht="14.25">
      <c r="A15" s="518"/>
      <c r="B15" s="519" t="s">
        <v>400</v>
      </c>
      <c r="C15" s="516"/>
      <c r="D15" s="517"/>
      <c r="E15" s="505"/>
      <c r="F15" s="505"/>
      <c r="G15" s="505"/>
      <c r="H15" s="506"/>
    </row>
    <row r="16" spans="1:8" ht="14.25">
      <c r="A16" s="518"/>
      <c r="B16" s="520"/>
      <c r="C16" s="516"/>
      <c r="D16" s="517"/>
      <c r="E16" s="505"/>
      <c r="F16" s="505"/>
      <c r="G16" s="505"/>
      <c r="H16" s="506"/>
    </row>
    <row r="17" spans="1:8" ht="14.25">
      <c r="A17" s="571" t="s">
        <v>401</v>
      </c>
      <c r="B17" s="572"/>
      <c r="C17" s="572"/>
      <c r="D17" s="572"/>
      <c r="E17" s="505"/>
      <c r="F17" s="505"/>
      <c r="G17" s="505"/>
      <c r="H17" s="506"/>
    </row>
    <row r="18" spans="1:8" ht="14.25">
      <c r="A18" s="514"/>
      <c r="B18" s="521"/>
      <c r="C18" s="328"/>
      <c r="D18" s="522"/>
      <c r="E18" s="505"/>
      <c r="F18" s="505"/>
      <c r="G18" s="505"/>
      <c r="H18" s="506"/>
    </row>
    <row r="19" spans="1:8" ht="14.25">
      <c r="A19" s="518"/>
      <c r="B19" s="519" t="s">
        <v>402</v>
      </c>
      <c r="C19" s="328"/>
      <c r="D19" s="522"/>
      <c r="E19" s="505"/>
      <c r="F19" s="505"/>
      <c r="G19" s="505"/>
      <c r="H19" s="506"/>
    </row>
    <row r="20" spans="1:8" ht="14.25">
      <c r="A20" s="518"/>
      <c r="B20" s="322"/>
      <c r="C20" s="322"/>
      <c r="D20" s="323"/>
      <c r="E20" s="505"/>
      <c r="F20" s="505"/>
      <c r="G20" s="505"/>
      <c r="H20" s="506"/>
    </row>
    <row r="21" spans="1:8" ht="14.25">
      <c r="A21" s="571" t="s">
        <v>403</v>
      </c>
      <c r="B21" s="572"/>
      <c r="C21" s="572"/>
      <c r="D21" s="572"/>
      <c r="E21" s="505"/>
      <c r="F21" s="505"/>
      <c r="G21" s="505"/>
      <c r="H21" s="506"/>
    </row>
    <row r="22" spans="1:8" ht="14.25">
      <c r="A22" s="514"/>
      <c r="B22" s="521"/>
      <c r="C22" s="328"/>
      <c r="D22" s="329"/>
      <c r="E22" s="505"/>
      <c r="F22" s="505"/>
      <c r="G22" s="505"/>
      <c r="H22" s="506"/>
    </row>
    <row r="23" spans="1:8" ht="14.25">
      <c r="A23" s="523"/>
      <c r="B23" s="315" t="s">
        <v>404</v>
      </c>
      <c r="C23" s="316">
        <v>5.2</v>
      </c>
      <c r="D23" s="317" t="s">
        <v>234</v>
      </c>
      <c r="E23" s="505"/>
      <c r="F23" s="505"/>
      <c r="G23" s="505"/>
      <c r="H23" s="506"/>
    </row>
    <row r="24" spans="1:8" ht="14.25">
      <c r="A24" s="523"/>
      <c r="B24" s="315" t="s">
        <v>405</v>
      </c>
      <c r="C24" s="316">
        <v>1.1</v>
      </c>
      <c r="D24" s="317" t="s">
        <v>234</v>
      </c>
      <c r="E24" s="505"/>
      <c r="F24" s="505"/>
      <c r="G24" s="505"/>
      <c r="H24" s="506"/>
    </row>
    <row r="25" spans="1:8" ht="14.25">
      <c r="A25" s="523"/>
      <c r="B25" s="315" t="s">
        <v>406</v>
      </c>
      <c r="C25" s="316">
        <v>0.8</v>
      </c>
      <c r="D25" s="317" t="s">
        <v>234</v>
      </c>
      <c r="E25" s="505"/>
      <c r="F25" s="505"/>
      <c r="G25" s="505"/>
      <c r="H25" s="506"/>
    </row>
    <row r="26" spans="1:8" ht="14.25">
      <c r="A26" s="523"/>
      <c r="B26" s="315" t="s">
        <v>407</v>
      </c>
      <c r="C26" s="316">
        <v>1</v>
      </c>
      <c r="D26" s="317" t="s">
        <v>234</v>
      </c>
      <c r="E26" s="505"/>
      <c r="F26" s="505"/>
      <c r="G26" s="505"/>
      <c r="H26" s="506"/>
    </row>
    <row r="27" spans="1:8" ht="14.25">
      <c r="A27" s="518"/>
      <c r="B27" s="319"/>
      <c r="C27" s="320"/>
      <c r="D27" s="321"/>
      <c r="E27" s="505"/>
      <c r="F27" s="505"/>
      <c r="G27" s="505"/>
      <c r="H27" s="506"/>
    </row>
    <row r="28" spans="1:8" ht="14.25">
      <c r="A28" s="523"/>
      <c r="B28" s="315" t="s">
        <v>408</v>
      </c>
      <c r="C28" s="316">
        <v>8.73</v>
      </c>
      <c r="D28" s="317" t="s">
        <v>234</v>
      </c>
      <c r="E28" s="505"/>
      <c r="F28" s="505"/>
      <c r="G28" s="505"/>
      <c r="H28" s="506"/>
    </row>
    <row r="29" spans="1:8" ht="14.25">
      <c r="A29" s="518"/>
      <c r="B29" s="318"/>
      <c r="C29" s="322"/>
      <c r="D29" s="323"/>
      <c r="E29" s="505"/>
      <c r="F29" s="505"/>
      <c r="G29" s="505"/>
      <c r="H29" s="506"/>
    </row>
    <row r="30" spans="1:8" ht="14.25">
      <c r="A30" s="571" t="s">
        <v>409</v>
      </c>
      <c r="B30" s="572"/>
      <c r="C30" s="572"/>
      <c r="D30" s="572"/>
      <c r="E30" s="505"/>
      <c r="F30" s="505"/>
      <c r="G30" s="505"/>
      <c r="H30" s="506"/>
    </row>
    <row r="31" spans="1:8" ht="14.25">
      <c r="A31" s="512"/>
      <c r="B31" s="513"/>
      <c r="C31" s="513"/>
      <c r="D31" s="513"/>
      <c r="E31" s="505"/>
      <c r="F31" s="505"/>
      <c r="G31" s="505"/>
      <c r="H31" s="506"/>
    </row>
    <row r="32" spans="1:8" ht="14.25">
      <c r="A32" s="512"/>
      <c r="B32" s="324" t="s">
        <v>410</v>
      </c>
      <c r="C32" s="325">
        <f>C35+C37+C38+C39</f>
        <v>10.15</v>
      </c>
      <c r="D32" s="326" t="s">
        <v>234</v>
      </c>
      <c r="E32" s="505"/>
      <c r="F32" s="505"/>
      <c r="G32" s="505"/>
      <c r="H32" s="506"/>
    </row>
    <row r="33" spans="1:8" ht="14.25">
      <c r="A33" s="512"/>
      <c r="B33" s="513"/>
      <c r="C33" s="513"/>
      <c r="D33" s="513"/>
      <c r="E33" s="505"/>
      <c r="F33" s="505"/>
      <c r="G33" s="505"/>
      <c r="H33" s="506"/>
    </row>
    <row r="34" spans="1:8" ht="25.5">
      <c r="A34" s="512"/>
      <c r="B34" s="327" t="s">
        <v>411</v>
      </c>
      <c r="C34" s="316">
        <v>100</v>
      </c>
      <c r="D34" s="326" t="s">
        <v>234</v>
      </c>
      <c r="E34" s="505"/>
      <c r="F34" s="505"/>
      <c r="G34" s="505"/>
      <c r="H34" s="506"/>
    </row>
    <row r="35" spans="1:8" ht="25.5">
      <c r="A35" s="512"/>
      <c r="B35" s="327" t="s">
        <v>412</v>
      </c>
      <c r="C35" s="316">
        <v>2</v>
      </c>
      <c r="D35" s="326" t="s">
        <v>234</v>
      </c>
      <c r="E35" s="505"/>
      <c r="F35" s="505"/>
      <c r="G35" s="505"/>
      <c r="H35" s="506"/>
    </row>
    <row r="36" spans="1:8" ht="14.25">
      <c r="A36" s="514"/>
      <c r="B36" s="521"/>
      <c r="C36" s="328"/>
      <c r="D36" s="329"/>
      <c r="E36" s="505"/>
      <c r="F36" s="505"/>
      <c r="G36" s="505"/>
      <c r="H36" s="506"/>
    </row>
    <row r="37" spans="1:8" ht="14.25">
      <c r="A37" s="518"/>
      <c r="B37" s="327" t="s">
        <v>413</v>
      </c>
      <c r="C37" s="330">
        <v>3</v>
      </c>
      <c r="D37" s="331" t="s">
        <v>234</v>
      </c>
      <c r="E37" s="505"/>
      <c r="F37" s="505"/>
      <c r="G37" s="505"/>
      <c r="H37" s="506"/>
    </row>
    <row r="38" spans="1:8" ht="14.25">
      <c r="A38" s="518"/>
      <c r="B38" s="327" t="s">
        <v>414</v>
      </c>
      <c r="C38" s="330">
        <v>0.65</v>
      </c>
      <c r="D38" s="331" t="s">
        <v>234</v>
      </c>
      <c r="E38" s="505"/>
      <c r="F38" s="505"/>
      <c r="G38" s="505"/>
      <c r="H38" s="506"/>
    </row>
    <row r="39" spans="1:8" ht="14.25">
      <c r="A39" s="518"/>
      <c r="B39" s="327" t="s">
        <v>415</v>
      </c>
      <c r="C39" s="330">
        <f>IF(B15="Com Desoneração",4.5,0)</f>
        <v>4.5</v>
      </c>
      <c r="D39" s="317" t="s">
        <v>234</v>
      </c>
      <c r="E39" s="505"/>
      <c r="F39" s="505"/>
      <c r="G39" s="505"/>
      <c r="H39" s="506"/>
    </row>
    <row r="40" spans="1:8" ht="14.25">
      <c r="A40" s="518"/>
      <c r="B40" s="318"/>
      <c r="C40" s="322"/>
      <c r="D40" s="323"/>
      <c r="E40" s="505"/>
      <c r="F40" s="505"/>
      <c r="G40" s="505"/>
      <c r="H40" s="506"/>
    </row>
    <row r="41" spans="1:8" ht="14.25">
      <c r="A41" s="571" t="s">
        <v>416</v>
      </c>
      <c r="B41" s="572"/>
      <c r="C41" s="572"/>
      <c r="D41" s="572"/>
      <c r="E41" s="505"/>
      <c r="F41" s="505"/>
      <c r="G41" s="505"/>
      <c r="H41" s="506"/>
    </row>
    <row r="42" spans="1:8" ht="14.25">
      <c r="A42" s="514"/>
      <c r="B42" s="521"/>
      <c r="C42" s="328"/>
      <c r="D42" s="522"/>
      <c r="E42" s="505"/>
      <c r="F42" s="505"/>
      <c r="G42" s="505"/>
      <c r="H42" s="506"/>
    </row>
    <row r="43" spans="1:8" ht="14.25">
      <c r="A43" s="518"/>
      <c r="B43" s="322" t="s">
        <v>417</v>
      </c>
      <c r="C43" s="573">
        <f>ROUND((((1+($C$23/100)+($C$25/100)+($C$24/100))*(1+($C$26/100))*(1+($C$28/100)))/(1-$C$32/100)-1),4)</f>
        <v>0.309</v>
      </c>
      <c r="D43" s="574"/>
      <c r="E43" s="505"/>
      <c r="F43" s="505"/>
      <c r="G43" s="505"/>
      <c r="H43" s="506"/>
    </row>
    <row r="44" spans="1:8" ht="14.25">
      <c r="A44" s="518"/>
      <c r="B44" s="322" t="s">
        <v>418</v>
      </c>
      <c r="C44" s="575"/>
      <c r="D44" s="576"/>
      <c r="E44" s="505"/>
      <c r="F44" s="505"/>
      <c r="G44" s="505"/>
      <c r="H44" s="506"/>
    </row>
    <row r="45" spans="1:8" ht="15" thickBot="1">
      <c r="A45" s="524"/>
      <c r="B45" s="525"/>
      <c r="C45" s="526"/>
      <c r="D45" s="527"/>
      <c r="E45" s="528"/>
      <c r="F45" s="528"/>
      <c r="G45" s="528"/>
      <c r="H45" s="529"/>
    </row>
    <row r="46" spans="1:4" ht="14.25">
      <c r="A46" s="361"/>
      <c r="B46" s="362"/>
      <c r="C46" s="323"/>
      <c r="D46" s="362"/>
    </row>
    <row r="47" spans="1:4" ht="14.25">
      <c r="A47" s="361"/>
      <c r="B47" s="362"/>
      <c r="C47" s="323"/>
      <c r="D47" s="362"/>
    </row>
    <row r="48" spans="1:4" ht="14.25">
      <c r="A48" s="361"/>
      <c r="B48" s="362"/>
      <c r="C48" s="323"/>
      <c r="D48" s="362"/>
    </row>
    <row r="49" spans="1:4" ht="14.25">
      <c r="A49" s="332"/>
      <c r="B49" s="333"/>
      <c r="C49" s="334"/>
      <c r="D49" s="334"/>
    </row>
    <row r="50" spans="1:4" ht="14.25">
      <c r="A50" s="332"/>
      <c r="B50" s="362"/>
      <c r="C50" s="334"/>
      <c r="D50" s="334"/>
    </row>
    <row r="51" spans="1:4" ht="14.25">
      <c r="A51" s="332"/>
      <c r="B51" s="362"/>
      <c r="C51" s="334"/>
      <c r="D51" s="334"/>
    </row>
    <row r="52" spans="1:4" ht="14.25">
      <c r="A52" s="362"/>
      <c r="B52" s="362"/>
      <c r="C52" s="323"/>
      <c r="D52" s="362"/>
    </row>
    <row r="53" spans="1:4" ht="14.25">
      <c r="A53" s="362"/>
      <c r="B53" s="362"/>
      <c r="C53" s="323"/>
      <c r="D53" s="362"/>
    </row>
    <row r="54" spans="1:4" ht="14.25">
      <c r="A54" s="362"/>
      <c r="B54" s="362"/>
      <c r="C54" s="323"/>
      <c r="D54" s="362"/>
    </row>
    <row r="55" spans="1:4" ht="14.25">
      <c r="A55" s="363"/>
      <c r="B55" s="364"/>
      <c r="C55" s="323"/>
      <c r="D55" s="362"/>
    </row>
    <row r="56" spans="1:4" ht="14.25">
      <c r="A56" s="363"/>
      <c r="B56" s="360"/>
      <c r="C56" s="323"/>
      <c r="D56" s="362"/>
    </row>
    <row r="57" spans="1:4" ht="14.25">
      <c r="A57" s="362"/>
      <c r="B57" s="362"/>
      <c r="C57" s="323"/>
      <c r="D57" s="362"/>
    </row>
    <row r="58" spans="1:4" ht="14.25">
      <c r="A58" s="362"/>
      <c r="B58" s="362"/>
      <c r="C58" s="323"/>
      <c r="D58" s="362"/>
    </row>
    <row r="59" spans="1:4" ht="14.25">
      <c r="A59" s="362"/>
      <c r="B59" s="362"/>
      <c r="C59" s="362"/>
      <c r="D59" s="362"/>
    </row>
    <row r="60" spans="1:4" ht="14.25">
      <c r="A60" s="362"/>
      <c r="B60" s="362"/>
      <c r="C60" s="323"/>
      <c r="D60" s="362"/>
    </row>
    <row r="61" spans="1:4" ht="14.25">
      <c r="A61" s="362"/>
      <c r="B61" s="364"/>
      <c r="C61" s="323"/>
      <c r="D61" s="362"/>
    </row>
    <row r="62" spans="1:4" ht="14.25">
      <c r="A62" s="363"/>
      <c r="B62" s="360"/>
      <c r="C62" s="323"/>
      <c r="D62" s="362"/>
    </row>
    <row r="63" spans="1:4" ht="14.25">
      <c r="A63" s="363"/>
      <c r="B63" s="360"/>
      <c r="C63" s="323"/>
      <c r="D63" s="362"/>
    </row>
    <row r="64" spans="1:4" ht="14.25">
      <c r="A64" s="365"/>
      <c r="B64" s="365"/>
      <c r="C64" s="365"/>
      <c r="D64" s="365"/>
    </row>
    <row r="65" spans="1:4" ht="14.25">
      <c r="A65" s="365"/>
      <c r="B65" s="365"/>
      <c r="C65" s="365"/>
      <c r="D65" s="365"/>
    </row>
    <row r="66" spans="1:4" ht="14.25">
      <c r="A66" s="365"/>
      <c r="B66" s="365"/>
      <c r="C66" s="365"/>
      <c r="D66" s="365"/>
    </row>
    <row r="67" spans="1:4" ht="14.25">
      <c r="A67" s="365"/>
      <c r="B67" s="365"/>
      <c r="C67" s="365"/>
      <c r="D67" s="365"/>
    </row>
    <row r="68" spans="1:4" ht="14.25">
      <c r="A68" s="365"/>
      <c r="B68" s="365"/>
      <c r="C68" s="365"/>
      <c r="D68" s="365"/>
    </row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  <row r="1064" ht="14.25"/>
    <row r="1065" ht="14.25"/>
    <row r="1066" ht="14.25"/>
    <row r="1067" ht="14.25"/>
    <row r="1068" ht="14.25"/>
    <row r="1069" ht="14.25"/>
    <row r="1070" ht="14.25"/>
    <row r="1071" ht="14.25"/>
    <row r="1072" ht="14.25"/>
    <row r="1073" ht="14.25"/>
    <row r="1074" ht="14.25"/>
    <row r="1075" ht="14.25"/>
    <row r="1076" ht="14.25"/>
    <row r="1077" ht="14.25"/>
    <row r="1078" ht="14.25"/>
    <row r="1079" ht="14.25"/>
    <row r="1080" ht="14.25"/>
    <row r="1081" ht="14.25"/>
    <row r="1082" ht="14.25"/>
    <row r="1083" ht="14.25"/>
    <row r="1084" ht="14.25"/>
    <row r="1085" ht="14.25"/>
    <row r="1086" ht="14.25"/>
    <row r="1087" ht="14.25"/>
    <row r="1088" ht="14.25"/>
    <row r="1089" ht="14.25"/>
    <row r="1090" ht="14.25"/>
    <row r="1091" ht="14.25"/>
    <row r="1092" ht="14.25"/>
    <row r="1093" ht="14.25"/>
    <row r="1094" ht="14.25"/>
    <row r="1095" ht="14.25"/>
    <row r="1096" ht="14.25"/>
    <row r="1097" ht="14.25"/>
    <row r="1098" ht="14.25"/>
    <row r="1099" ht="14.25"/>
    <row r="1100" ht="14.25"/>
    <row r="1101" ht="14.25"/>
    <row r="1102" ht="14.25"/>
    <row r="1103" ht="14.25"/>
    <row r="1104" ht="14.25"/>
    <row r="1105" ht="14.25"/>
    <row r="1106" ht="14.25"/>
    <row r="1107" ht="14.25"/>
    <row r="1108" ht="14.25"/>
    <row r="1109" ht="14.25"/>
    <row r="1110" ht="14.25"/>
    <row r="1111" ht="14.25"/>
    <row r="1112" ht="14.25"/>
    <row r="1113" ht="14.25"/>
    <row r="1114" ht="14.25"/>
    <row r="1115" ht="14.25"/>
    <row r="1116" ht="14.25"/>
    <row r="1117" ht="14.25"/>
    <row r="1118" ht="14.25"/>
    <row r="1119" ht="14.25"/>
    <row r="1120" ht="14.25"/>
    <row r="1121" ht="14.25"/>
    <row r="1122" ht="14.25"/>
    <row r="1123" ht="14.25"/>
    <row r="1124" ht="14.25"/>
    <row r="1125" ht="14.25"/>
    <row r="1126" ht="14.25"/>
    <row r="1127" ht="14.25"/>
    <row r="1128" ht="14.25"/>
    <row r="1129" ht="14.25"/>
    <row r="1130" ht="14.25"/>
    <row r="1131" ht="14.25"/>
    <row r="1132" ht="14.25"/>
    <row r="1133" ht="14.25"/>
    <row r="1134" ht="14.25"/>
    <row r="1135" ht="14.25"/>
    <row r="1136" ht="14.25"/>
    <row r="1137" ht="14.25"/>
    <row r="1138" ht="14.25"/>
    <row r="1139" ht="14.25"/>
    <row r="1140" ht="14.25"/>
    <row r="1141" ht="14.25"/>
    <row r="1142" ht="14.25"/>
    <row r="1143" ht="14.25"/>
    <row r="1144" ht="14.25"/>
    <row r="1145" ht="14.25"/>
    <row r="1146" ht="14.25"/>
    <row r="1147" ht="14.25"/>
    <row r="1148" ht="14.25"/>
    <row r="1149" ht="14.25"/>
    <row r="1150" ht="14.25"/>
    <row r="1151" ht="14.25"/>
    <row r="1152" ht="14.25"/>
    <row r="1153" ht="14.25"/>
    <row r="1154" ht="14.25"/>
    <row r="1155" ht="14.25"/>
    <row r="1156" ht="14.25"/>
    <row r="1157" ht="14.25"/>
    <row r="1158" ht="14.25"/>
    <row r="1159" ht="14.25"/>
    <row r="1160" ht="14.25"/>
    <row r="1161" ht="14.25"/>
    <row r="1162" ht="14.25"/>
    <row r="1163" ht="14.25"/>
    <row r="1164" ht="14.25"/>
    <row r="1165" ht="14.25"/>
    <row r="1166" ht="14.25"/>
    <row r="1167" ht="14.25"/>
    <row r="1168" ht="14.25"/>
    <row r="1169" ht="14.25"/>
    <row r="1170" ht="14.25"/>
  </sheetData>
  <sheetProtection/>
  <protectedRanges>
    <protectedRange sqref="C23:C26" name="Intervalo1_1"/>
    <protectedRange sqref="C27:C28 C37:C39" name="Intervalo2_1"/>
  </protectedRanges>
  <mergeCells count="14">
    <mergeCell ref="A41:D41"/>
    <mergeCell ref="C43:D44"/>
    <mergeCell ref="A7:D7"/>
    <mergeCell ref="B9:D9"/>
    <mergeCell ref="B10:D10"/>
    <mergeCell ref="A13:D13"/>
    <mergeCell ref="A17:D17"/>
    <mergeCell ref="A21:D21"/>
    <mergeCell ref="A2:H2"/>
    <mergeCell ref="A3:H3"/>
    <mergeCell ref="A4:H4"/>
    <mergeCell ref="A5:H5"/>
    <mergeCell ref="A6:H6"/>
    <mergeCell ref="A30:D30"/>
  </mergeCells>
  <dataValidations count="4">
    <dataValidation type="list" allowBlank="1" showInputMessage="1" showErrorMessage="1" sqref="B19">
      <formula1>"Edificações, Fornecimento de Materiais e Equipamentos, Redes de Água, Esgoto ou Correlatas, Rodovias e Ferrovias, Portuárias, Marítimas e Fluviais,"</formula1>
    </dataValidation>
    <dataValidation type="list" allowBlank="1" showInputMessage="1" showErrorMessage="1" sqref="B15">
      <formula1>"Com Desoneração, Sem Desoneração"</formula1>
    </dataValidation>
    <dataValidation type="decimal" allowBlank="1" showInputMessage="1" showErrorMessage="1" errorTitle="Atenção" error="O valor deve estar entre 2%  e  5%" sqref="C35">
      <formula1>2</formula1>
      <formula2>5</formula2>
    </dataValidation>
    <dataValidation type="decimal" allowBlank="1" showInputMessage="1" showErrorMessage="1" errorTitle="Atenção" error="O valor deve estar entre 0 e 100" sqref="C34">
      <formula1>0</formula1>
      <formula2>100</formula2>
    </dataValidation>
  </dataValidations>
  <printOptions horizontalCentered="1"/>
  <pageMargins left="0.5118110236220472" right="0.5118110236220472" top="0.7874015748031497" bottom="0.3937007874015748" header="0.31496062992125984" footer="0.31496062992125984"/>
  <pageSetup fitToHeight="100" fitToWidth="1" horizontalDpi="600" verticalDpi="600" orientation="portrait" paperSize="9" scale="90" r:id="rId5"/>
  <headerFooter>
    <oddFooter>&amp;L&amp;G&amp;CAvenida Getúlio Vargas, 1.710 – 7° andar - Funcionários – Belo Horizonte - MG. CEP:30112-021&amp;R&amp;P</oddFooter>
  </headerFooter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37">
      <selection activeCell="N52" sqref="N52"/>
    </sheetView>
  </sheetViews>
  <sheetFormatPr defaultColWidth="9.00390625" defaultRowHeight="21" customHeight="1"/>
  <cols>
    <col min="2" max="2" width="20.50390625" style="0" customWidth="1"/>
    <col min="4" max="4" width="12.25390625" style="0" customWidth="1"/>
    <col min="6" max="14" width="9.625" style="0" customWidth="1"/>
  </cols>
  <sheetData>
    <row r="1" spans="1:14" ht="21" customHeight="1">
      <c r="A1" s="609" t="s">
        <v>419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1"/>
    </row>
    <row r="2" spans="1:14" ht="21" customHeight="1">
      <c r="A2" s="612" t="s">
        <v>453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4"/>
    </row>
    <row r="3" spans="1:14" ht="21" customHeight="1">
      <c r="A3" s="623" t="s">
        <v>420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5"/>
    </row>
    <row r="4" spans="1:14" ht="21" customHeight="1" thickBot="1">
      <c r="A4" s="595" t="s">
        <v>421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7"/>
    </row>
    <row r="5" spans="1:14" ht="21" customHeight="1">
      <c r="A5" s="615" t="s">
        <v>422</v>
      </c>
      <c r="B5" s="617" t="s">
        <v>438</v>
      </c>
      <c r="C5" s="585" t="s">
        <v>439</v>
      </c>
      <c r="D5" s="586"/>
      <c r="E5" s="619" t="s">
        <v>423</v>
      </c>
      <c r="F5" s="585" t="s">
        <v>424</v>
      </c>
      <c r="G5" s="621"/>
      <c r="H5" s="621"/>
      <c r="I5" s="621"/>
      <c r="J5" s="621"/>
      <c r="K5" s="621"/>
      <c r="L5" s="621"/>
      <c r="M5" s="621"/>
      <c r="N5" s="622"/>
    </row>
    <row r="6" spans="1:14" ht="21" customHeight="1">
      <c r="A6" s="616"/>
      <c r="B6" s="618"/>
      <c r="C6" s="339" t="s">
        <v>234</v>
      </c>
      <c r="D6" s="340" t="s">
        <v>435</v>
      </c>
      <c r="E6" s="620"/>
      <c r="F6" s="335" t="s">
        <v>426</v>
      </c>
      <c r="G6" s="336" t="s">
        <v>427</v>
      </c>
      <c r="H6" s="335" t="s">
        <v>428</v>
      </c>
      <c r="I6" s="336" t="s">
        <v>429</v>
      </c>
      <c r="J6" s="335" t="s">
        <v>430</v>
      </c>
      <c r="K6" s="336" t="s">
        <v>431</v>
      </c>
      <c r="L6" s="335" t="s">
        <v>432</v>
      </c>
      <c r="M6" s="336" t="s">
        <v>433</v>
      </c>
      <c r="N6" s="374" t="s">
        <v>434</v>
      </c>
    </row>
    <row r="7" spans="1:16" ht="24.75" customHeight="1" thickBot="1">
      <c r="A7" s="598">
        <v>1</v>
      </c>
      <c r="B7" s="599" t="s">
        <v>79</v>
      </c>
      <c r="C7" s="601">
        <f>D7/$D$49</f>
        <v>0.1139</v>
      </c>
      <c r="D7" s="602">
        <f>'PLANILHA ORÇAMENTÁRIA '!J9</f>
        <v>64819.08</v>
      </c>
      <c r="E7" s="341" t="s">
        <v>234</v>
      </c>
      <c r="F7" s="354">
        <v>0.11</v>
      </c>
      <c r="G7" s="354">
        <v>0.11</v>
      </c>
      <c r="H7" s="354">
        <v>0.11</v>
      </c>
      <c r="I7" s="354">
        <v>0.11</v>
      </c>
      <c r="J7" s="354">
        <v>0.11</v>
      </c>
      <c r="K7" s="354">
        <v>0.11</v>
      </c>
      <c r="L7" s="354">
        <v>0.11</v>
      </c>
      <c r="M7" s="354">
        <v>0.11</v>
      </c>
      <c r="N7" s="375">
        <v>0.12</v>
      </c>
      <c r="P7" s="449"/>
    </row>
    <row r="8" spans="1:16" ht="24.75" customHeight="1">
      <c r="A8" s="587"/>
      <c r="B8" s="600"/>
      <c r="C8" s="589"/>
      <c r="D8" s="590"/>
      <c r="E8" s="342" t="s">
        <v>435</v>
      </c>
      <c r="F8" s="353">
        <f>F7*$D$7</f>
        <v>7130.1</v>
      </c>
      <c r="G8" s="353">
        <f aca="true" t="shared" si="0" ref="G8:M8">G7*$D$7</f>
        <v>7130.1</v>
      </c>
      <c r="H8" s="353">
        <f t="shared" si="0"/>
        <v>7130.1</v>
      </c>
      <c r="I8" s="353">
        <f t="shared" si="0"/>
        <v>7130.1</v>
      </c>
      <c r="J8" s="353">
        <f t="shared" si="0"/>
        <v>7130.1</v>
      </c>
      <c r="K8" s="353">
        <f t="shared" si="0"/>
        <v>7130.1</v>
      </c>
      <c r="L8" s="353">
        <f t="shared" si="0"/>
        <v>7130.1</v>
      </c>
      <c r="M8" s="353">
        <f t="shared" si="0"/>
        <v>7130.1</v>
      </c>
      <c r="N8" s="376">
        <f>N7*$D$7</f>
        <v>7778.29</v>
      </c>
      <c r="P8" s="1"/>
    </row>
    <row r="9" spans="1:16" ht="24.75" customHeight="1" thickBot="1">
      <c r="A9" s="587">
        <v>2</v>
      </c>
      <c r="B9" s="594" t="s">
        <v>33</v>
      </c>
      <c r="C9" s="589">
        <f>D9/$D$49</f>
        <v>0.0039</v>
      </c>
      <c r="D9" s="590">
        <f>'PLANILHA ORÇAMENTÁRIA '!J12</f>
        <v>2219.68</v>
      </c>
      <c r="E9" s="345" t="s">
        <v>234</v>
      </c>
      <c r="F9" s="354">
        <v>1</v>
      </c>
      <c r="G9" s="346"/>
      <c r="H9" s="346"/>
      <c r="I9" s="346"/>
      <c r="J9" s="346"/>
      <c r="K9" s="346"/>
      <c r="L9" s="346"/>
      <c r="M9" s="346"/>
      <c r="N9" s="377"/>
      <c r="P9" s="449"/>
    </row>
    <row r="10" spans="1:16" ht="24.75" customHeight="1">
      <c r="A10" s="587"/>
      <c r="B10" s="594"/>
      <c r="C10" s="589"/>
      <c r="D10" s="590"/>
      <c r="E10" s="342" t="s">
        <v>435</v>
      </c>
      <c r="F10" s="353">
        <f>F9*$D$9</f>
        <v>2219.68</v>
      </c>
      <c r="G10" s="343"/>
      <c r="H10" s="343"/>
      <c r="I10" s="343"/>
      <c r="J10" s="343"/>
      <c r="K10" s="343"/>
      <c r="L10" s="343"/>
      <c r="M10" s="343"/>
      <c r="N10" s="378"/>
      <c r="P10" s="1"/>
    </row>
    <row r="11" spans="1:16" ht="24.75" customHeight="1" thickBot="1">
      <c r="A11" s="587">
        <v>3</v>
      </c>
      <c r="B11" s="594" t="s">
        <v>78</v>
      </c>
      <c r="C11" s="589">
        <f>D11/$D$49</f>
        <v>0.0167</v>
      </c>
      <c r="D11" s="590">
        <f>'PLANILHA ORÇAMENTÁRIA '!J22</f>
        <v>9529.91</v>
      </c>
      <c r="E11" s="345" t="s">
        <v>234</v>
      </c>
      <c r="F11" s="354">
        <v>1</v>
      </c>
      <c r="G11" s="346"/>
      <c r="H11" s="346"/>
      <c r="I11" s="346"/>
      <c r="J11" s="346"/>
      <c r="K11" s="346"/>
      <c r="L11" s="346"/>
      <c r="M11" s="346"/>
      <c r="N11" s="377"/>
      <c r="P11" s="449"/>
    </row>
    <row r="12" spans="1:16" ht="24.75" customHeight="1">
      <c r="A12" s="587"/>
      <c r="B12" s="594"/>
      <c r="C12" s="589"/>
      <c r="D12" s="590"/>
      <c r="E12" s="342" t="s">
        <v>435</v>
      </c>
      <c r="F12" s="353">
        <f>F11*D11</f>
        <v>9529.91</v>
      </c>
      <c r="G12" s="343"/>
      <c r="H12" s="344"/>
      <c r="I12" s="344"/>
      <c r="J12" s="344"/>
      <c r="K12" s="344"/>
      <c r="L12" s="344"/>
      <c r="M12" s="344"/>
      <c r="N12" s="379"/>
      <c r="P12" s="1"/>
    </row>
    <row r="13" spans="1:16" ht="24.75" customHeight="1" thickBot="1">
      <c r="A13" s="587">
        <v>4</v>
      </c>
      <c r="B13" s="593" t="s">
        <v>96</v>
      </c>
      <c r="C13" s="589">
        <f>D13/$D$49</f>
        <v>0.0302</v>
      </c>
      <c r="D13" s="590">
        <f>'PLANILHA ORÇAMENTÁRIA '!J32</f>
        <v>17190.55</v>
      </c>
      <c r="E13" s="345" t="s">
        <v>234</v>
      </c>
      <c r="F13" s="354">
        <v>0.8</v>
      </c>
      <c r="G13" s="354">
        <v>0.2</v>
      </c>
      <c r="H13" s="346"/>
      <c r="I13" s="346"/>
      <c r="J13" s="346"/>
      <c r="K13" s="346"/>
      <c r="L13" s="346"/>
      <c r="M13" s="346"/>
      <c r="N13" s="377"/>
      <c r="P13" s="449"/>
    </row>
    <row r="14" spans="1:16" ht="24.75" customHeight="1">
      <c r="A14" s="587"/>
      <c r="B14" s="593"/>
      <c r="C14" s="589"/>
      <c r="D14" s="590"/>
      <c r="E14" s="342" t="s">
        <v>435</v>
      </c>
      <c r="F14" s="355">
        <f>F13*$D$13</f>
        <v>13752.44</v>
      </c>
      <c r="G14" s="355">
        <f>G13*$D$13</f>
        <v>3438.11</v>
      </c>
      <c r="H14" s="344"/>
      <c r="I14" s="344"/>
      <c r="J14" s="344"/>
      <c r="K14" s="344"/>
      <c r="L14" s="344"/>
      <c r="M14" s="344"/>
      <c r="N14" s="379"/>
      <c r="P14" s="1"/>
    </row>
    <row r="15" spans="1:16" ht="24.75" customHeight="1" thickBot="1">
      <c r="A15" s="587">
        <v>5</v>
      </c>
      <c r="B15" s="593" t="s">
        <v>60</v>
      </c>
      <c r="C15" s="589">
        <f>D15/$D$49</f>
        <v>0.0252</v>
      </c>
      <c r="D15" s="590">
        <f>'PLANILHA ORÇAMENTÁRIA '!J41</f>
        <v>14357.47</v>
      </c>
      <c r="E15" s="345" t="s">
        <v>234</v>
      </c>
      <c r="F15" s="354">
        <v>0.3</v>
      </c>
      <c r="G15" s="354">
        <v>0.6</v>
      </c>
      <c r="H15" s="354">
        <v>0.1</v>
      </c>
      <c r="I15" s="346"/>
      <c r="J15" s="346"/>
      <c r="K15" s="346"/>
      <c r="L15" s="346"/>
      <c r="M15" s="346"/>
      <c r="N15" s="377"/>
      <c r="P15" s="449"/>
    </row>
    <row r="16" spans="1:16" ht="24.75" customHeight="1">
      <c r="A16" s="587"/>
      <c r="B16" s="593"/>
      <c r="C16" s="589"/>
      <c r="D16" s="590"/>
      <c r="E16" s="342" t="s">
        <v>435</v>
      </c>
      <c r="F16" s="355">
        <f>F15*$D$15-0.01</f>
        <v>4307.23</v>
      </c>
      <c r="G16" s="355">
        <f>G15*$D$15</f>
        <v>8614.48</v>
      </c>
      <c r="H16" s="355">
        <f>H15*$D$15</f>
        <v>1435.75</v>
      </c>
      <c r="I16" s="344"/>
      <c r="J16" s="344"/>
      <c r="K16" s="344"/>
      <c r="L16" s="344"/>
      <c r="M16" s="344"/>
      <c r="N16" s="379"/>
      <c r="P16" s="1"/>
    </row>
    <row r="17" spans="1:16" ht="24.75" customHeight="1" thickBot="1">
      <c r="A17" s="587">
        <v>6</v>
      </c>
      <c r="B17" s="593" t="s">
        <v>25</v>
      </c>
      <c r="C17" s="589">
        <f>D17/$D$49</f>
        <v>0.1304</v>
      </c>
      <c r="D17" s="590">
        <f>'PLANILHA ORÇAMENTÁRIA '!J49</f>
        <v>74248.12</v>
      </c>
      <c r="E17" s="345" t="s">
        <v>234</v>
      </c>
      <c r="F17" s="342"/>
      <c r="G17" s="354">
        <v>0.3</v>
      </c>
      <c r="H17" s="354">
        <v>0.7</v>
      </c>
      <c r="I17" s="346"/>
      <c r="J17" s="346"/>
      <c r="K17" s="346"/>
      <c r="L17" s="346"/>
      <c r="M17" s="346"/>
      <c r="N17" s="377"/>
      <c r="P17" s="449"/>
    </row>
    <row r="18" spans="1:16" ht="24.75" customHeight="1">
      <c r="A18" s="587"/>
      <c r="B18" s="593"/>
      <c r="C18" s="589"/>
      <c r="D18" s="590"/>
      <c r="E18" s="342" t="s">
        <v>435</v>
      </c>
      <c r="F18" s="348"/>
      <c r="G18" s="355">
        <f>G17*$D$17</f>
        <v>22274.44</v>
      </c>
      <c r="H18" s="355">
        <f>H17*$D$17</f>
        <v>51973.68</v>
      </c>
      <c r="I18" s="344"/>
      <c r="J18" s="344"/>
      <c r="K18" s="344"/>
      <c r="L18" s="344"/>
      <c r="M18" s="344"/>
      <c r="N18" s="380"/>
      <c r="P18" s="1"/>
    </row>
    <row r="19" spans="1:16" ht="24.75" customHeight="1" thickBot="1">
      <c r="A19" s="587">
        <v>7</v>
      </c>
      <c r="B19" s="592" t="s">
        <v>34</v>
      </c>
      <c r="C19" s="589">
        <f>D19/$D$49</f>
        <v>0.0344</v>
      </c>
      <c r="D19" s="590">
        <f>'PLANILHA ORÇAMENTÁRIA '!J53</f>
        <v>19608.34</v>
      </c>
      <c r="E19" s="345" t="s">
        <v>234</v>
      </c>
      <c r="F19" s="346"/>
      <c r="G19" s="346"/>
      <c r="H19" s="354">
        <v>0.15</v>
      </c>
      <c r="I19" s="354">
        <v>0.2</v>
      </c>
      <c r="J19" s="354">
        <v>0.3</v>
      </c>
      <c r="K19" s="354">
        <v>0.25</v>
      </c>
      <c r="L19" s="354">
        <v>0.1</v>
      </c>
      <c r="M19" s="346"/>
      <c r="N19" s="377"/>
      <c r="P19" s="449"/>
    </row>
    <row r="20" spans="1:16" ht="24.75" customHeight="1">
      <c r="A20" s="587"/>
      <c r="B20" s="592"/>
      <c r="C20" s="589"/>
      <c r="D20" s="590"/>
      <c r="E20" s="342" t="s">
        <v>435</v>
      </c>
      <c r="F20" s="342"/>
      <c r="G20" s="342"/>
      <c r="H20" s="356">
        <f>H19*$D$19</f>
        <v>2941.25</v>
      </c>
      <c r="I20" s="356">
        <f>I19*$D$19</f>
        <v>3921.67</v>
      </c>
      <c r="J20" s="356">
        <f>J19*$D$19</f>
        <v>5882.5</v>
      </c>
      <c r="K20" s="356">
        <f>K19*$D$19</f>
        <v>4902.09</v>
      </c>
      <c r="L20" s="356">
        <f>L19*$D$19-0.01</f>
        <v>1960.82</v>
      </c>
      <c r="M20" s="344"/>
      <c r="N20" s="380"/>
      <c r="P20" s="1"/>
    </row>
    <row r="21" spans="1:16" ht="24.75" customHeight="1" thickBot="1">
      <c r="A21" s="587">
        <v>8</v>
      </c>
      <c r="B21" s="592" t="s">
        <v>436</v>
      </c>
      <c r="C21" s="589">
        <f>D21/$D$49</f>
        <v>0.0013</v>
      </c>
      <c r="D21" s="590">
        <f>'PLANILHA ORÇAMENTÁRIA '!J56</f>
        <v>766.15</v>
      </c>
      <c r="E21" s="345" t="s">
        <v>234</v>
      </c>
      <c r="F21" s="348"/>
      <c r="G21" s="348"/>
      <c r="H21" s="348"/>
      <c r="I21" s="354">
        <v>0.5</v>
      </c>
      <c r="J21" s="354">
        <v>0.5</v>
      </c>
      <c r="K21" s="349"/>
      <c r="L21" s="349"/>
      <c r="M21" s="349"/>
      <c r="N21" s="377"/>
      <c r="P21" s="449"/>
    </row>
    <row r="22" spans="1:16" ht="24.75" customHeight="1">
      <c r="A22" s="587"/>
      <c r="B22" s="592"/>
      <c r="C22" s="589"/>
      <c r="D22" s="590"/>
      <c r="E22" s="342" t="s">
        <v>435</v>
      </c>
      <c r="F22" s="348"/>
      <c r="G22" s="348"/>
      <c r="H22" s="348"/>
      <c r="I22" s="357">
        <f>I21*$D$21</f>
        <v>383.08</v>
      </c>
      <c r="J22" s="357">
        <f>J21*$D$21</f>
        <v>383.08</v>
      </c>
      <c r="K22" s="347"/>
      <c r="L22" s="347"/>
      <c r="M22" s="347"/>
      <c r="N22" s="380"/>
      <c r="P22" s="1"/>
    </row>
    <row r="23" spans="1:16" ht="24.75" customHeight="1" thickBot="1">
      <c r="A23" s="587">
        <v>9</v>
      </c>
      <c r="B23" s="591" t="s">
        <v>76</v>
      </c>
      <c r="C23" s="589">
        <f>D23/$D$49</f>
        <v>0.0608</v>
      </c>
      <c r="D23" s="590">
        <f>'PLANILHA ORÇAMENTÁRIA '!J61</f>
        <v>34615.32</v>
      </c>
      <c r="E23" s="345" t="s">
        <v>234</v>
      </c>
      <c r="F23" s="346"/>
      <c r="G23" s="346"/>
      <c r="H23" s="346"/>
      <c r="I23" s="354">
        <v>0.15</v>
      </c>
      <c r="J23" s="354">
        <v>0.15</v>
      </c>
      <c r="K23" s="354">
        <v>0.2</v>
      </c>
      <c r="L23" s="354">
        <v>0.5</v>
      </c>
      <c r="M23" s="349"/>
      <c r="N23" s="377"/>
      <c r="P23" s="449"/>
    </row>
    <row r="24" spans="1:16" ht="24.75" customHeight="1">
      <c r="A24" s="587"/>
      <c r="B24" s="591"/>
      <c r="C24" s="589"/>
      <c r="D24" s="590"/>
      <c r="E24" s="342" t="s">
        <v>435</v>
      </c>
      <c r="F24" s="342"/>
      <c r="G24" s="342"/>
      <c r="H24" s="342"/>
      <c r="I24" s="358">
        <f>I23*$D$23</f>
        <v>5192.3</v>
      </c>
      <c r="J24" s="358">
        <f>J23*$D$23</f>
        <v>5192.3</v>
      </c>
      <c r="K24" s="358">
        <f>K23*$D$23</f>
        <v>6923.06</v>
      </c>
      <c r="L24" s="358">
        <f>L23*$D$23</f>
        <v>17307.66</v>
      </c>
      <c r="M24" s="347"/>
      <c r="N24" s="380"/>
      <c r="P24" s="1"/>
    </row>
    <row r="25" spans="1:16" ht="24.75" customHeight="1" thickBot="1">
      <c r="A25" s="587">
        <v>10</v>
      </c>
      <c r="B25" s="588" t="s">
        <v>111</v>
      </c>
      <c r="C25" s="589">
        <f>D25/$D$49</f>
        <v>0.0804</v>
      </c>
      <c r="D25" s="590">
        <f>'PLANILHA ORÇAMENTÁRIA '!J68</f>
        <v>45754.74</v>
      </c>
      <c r="E25" s="345" t="s">
        <v>234</v>
      </c>
      <c r="F25" s="342"/>
      <c r="G25" s="346"/>
      <c r="H25" s="346"/>
      <c r="I25" s="346"/>
      <c r="J25" s="346"/>
      <c r="K25" s="354">
        <v>0.4</v>
      </c>
      <c r="L25" s="354">
        <v>0.3</v>
      </c>
      <c r="M25" s="354">
        <v>0.3</v>
      </c>
      <c r="N25" s="377"/>
      <c r="P25" s="449"/>
    </row>
    <row r="26" spans="1:16" ht="46.5" customHeight="1">
      <c r="A26" s="587"/>
      <c r="B26" s="588"/>
      <c r="C26" s="589"/>
      <c r="D26" s="590"/>
      <c r="E26" s="342" t="s">
        <v>435</v>
      </c>
      <c r="F26" s="342"/>
      <c r="G26" s="342"/>
      <c r="H26" s="342"/>
      <c r="I26" s="342"/>
      <c r="J26" s="342"/>
      <c r="K26" s="359">
        <f>K25*$D$25</f>
        <v>18301.9</v>
      </c>
      <c r="L26" s="359">
        <f>L25*$D$25</f>
        <v>13726.42</v>
      </c>
      <c r="M26" s="359">
        <f>M25*$D$25</f>
        <v>13726.42</v>
      </c>
      <c r="N26" s="380"/>
      <c r="P26" s="1"/>
    </row>
    <row r="27" spans="1:16" ht="24.75" customHeight="1" thickBot="1">
      <c r="A27" s="587">
        <v>11</v>
      </c>
      <c r="B27" s="591" t="s">
        <v>117</v>
      </c>
      <c r="C27" s="589">
        <f>D27/$D$49</f>
        <v>0.0715</v>
      </c>
      <c r="D27" s="590">
        <f>'PLANILHA ORÇAMENTÁRIA '!J74</f>
        <v>40729.68</v>
      </c>
      <c r="E27" s="345" t="s">
        <v>234</v>
      </c>
      <c r="F27" s="342"/>
      <c r="G27" s="342"/>
      <c r="H27" s="346"/>
      <c r="I27" s="346"/>
      <c r="J27" s="346"/>
      <c r="K27" s="354">
        <v>0.4</v>
      </c>
      <c r="L27" s="354">
        <v>0.4</v>
      </c>
      <c r="M27" s="354">
        <v>0.2</v>
      </c>
      <c r="N27" s="377"/>
      <c r="P27" s="449"/>
    </row>
    <row r="28" spans="1:16" ht="24.75" customHeight="1">
      <c r="A28" s="587"/>
      <c r="B28" s="591"/>
      <c r="C28" s="589"/>
      <c r="D28" s="590"/>
      <c r="E28" s="342" t="s">
        <v>435</v>
      </c>
      <c r="F28" s="342"/>
      <c r="G28" s="342"/>
      <c r="H28" s="342"/>
      <c r="I28" s="342"/>
      <c r="J28" s="342"/>
      <c r="K28" s="359">
        <f>K27*$D$27</f>
        <v>16291.87</v>
      </c>
      <c r="L28" s="359">
        <f>L27*$D$27</f>
        <v>16291.87</v>
      </c>
      <c r="M28" s="359">
        <f>M27*$D$27</f>
        <v>8145.94</v>
      </c>
      <c r="N28" s="380"/>
      <c r="P28" s="1"/>
    </row>
    <row r="29" spans="1:16" ht="24.75" customHeight="1" thickBot="1">
      <c r="A29" s="587">
        <v>12</v>
      </c>
      <c r="B29" s="588" t="s">
        <v>26</v>
      </c>
      <c r="C29" s="589">
        <f>D29/$D$49</f>
        <v>0.1027</v>
      </c>
      <c r="D29" s="590">
        <f>'PLANILHA ORÇAMENTÁRIA '!J81</f>
        <v>58484.67</v>
      </c>
      <c r="E29" s="345" t="s">
        <v>234</v>
      </c>
      <c r="F29" s="346"/>
      <c r="G29" s="346"/>
      <c r="H29" s="346"/>
      <c r="I29" s="346"/>
      <c r="J29" s="346"/>
      <c r="K29" s="342"/>
      <c r="L29" s="354">
        <v>0.6</v>
      </c>
      <c r="M29" s="354">
        <v>0.4</v>
      </c>
      <c r="N29" s="377"/>
      <c r="P29" s="449"/>
    </row>
    <row r="30" spans="1:16" ht="24.75" customHeight="1">
      <c r="A30" s="587"/>
      <c r="B30" s="588"/>
      <c r="C30" s="589"/>
      <c r="D30" s="590"/>
      <c r="E30" s="342" t="s">
        <v>435</v>
      </c>
      <c r="F30" s="342"/>
      <c r="G30" s="342"/>
      <c r="H30" s="342"/>
      <c r="I30" s="342"/>
      <c r="J30" s="342"/>
      <c r="K30" s="342"/>
      <c r="L30" s="359">
        <f>L29*$D$29</f>
        <v>35090.8</v>
      </c>
      <c r="M30" s="359">
        <f>M29*$D$29</f>
        <v>23393.87</v>
      </c>
      <c r="N30" s="380"/>
      <c r="P30" s="1"/>
    </row>
    <row r="31" spans="1:16" ht="24.75" customHeight="1" thickBot="1">
      <c r="A31" s="587">
        <v>13</v>
      </c>
      <c r="B31" s="588" t="s">
        <v>35</v>
      </c>
      <c r="C31" s="589">
        <f>D31/$D$49</f>
        <v>0.1434</v>
      </c>
      <c r="D31" s="590">
        <f>'PLANILHA ORÇAMENTÁRIA '!J110</f>
        <v>81632.41</v>
      </c>
      <c r="E31" s="345" t="s">
        <v>234</v>
      </c>
      <c r="F31" s="354">
        <v>0.05</v>
      </c>
      <c r="G31" s="354">
        <v>0.15</v>
      </c>
      <c r="H31" s="354">
        <v>0.1</v>
      </c>
      <c r="I31" s="354">
        <v>0.4</v>
      </c>
      <c r="J31" s="354">
        <v>0.2</v>
      </c>
      <c r="K31" s="354">
        <v>0.1</v>
      </c>
      <c r="L31" s="346"/>
      <c r="M31" s="346"/>
      <c r="N31" s="380"/>
      <c r="P31" s="449"/>
    </row>
    <row r="32" spans="1:16" ht="24.75" customHeight="1">
      <c r="A32" s="587"/>
      <c r="B32" s="588"/>
      <c r="C32" s="589"/>
      <c r="D32" s="590"/>
      <c r="E32" s="342" t="s">
        <v>435</v>
      </c>
      <c r="F32" s="358">
        <f aca="true" t="shared" si="1" ref="F32:K32">F31*$D$31</f>
        <v>4081.62</v>
      </c>
      <c r="G32" s="358">
        <f t="shared" si="1"/>
        <v>12244.86</v>
      </c>
      <c r="H32" s="358">
        <f t="shared" si="1"/>
        <v>8163.24</v>
      </c>
      <c r="I32" s="358">
        <f t="shared" si="1"/>
        <v>32652.96</v>
      </c>
      <c r="J32" s="358">
        <f t="shared" si="1"/>
        <v>16326.48</v>
      </c>
      <c r="K32" s="358">
        <f t="shared" si="1"/>
        <v>8163.24</v>
      </c>
      <c r="L32" s="342"/>
      <c r="M32" s="342"/>
      <c r="N32" s="380"/>
      <c r="P32" s="1"/>
    </row>
    <row r="33" spans="1:16" ht="24.75" customHeight="1" thickBot="1">
      <c r="A33" s="587">
        <v>14</v>
      </c>
      <c r="B33" s="588" t="s">
        <v>182</v>
      </c>
      <c r="C33" s="589">
        <f>D33/$D$49</f>
        <v>0.0321</v>
      </c>
      <c r="D33" s="590">
        <f>'PLANILHA ORÇAMENTÁRIA '!J118</f>
        <v>18282.44</v>
      </c>
      <c r="E33" s="345" t="s">
        <v>234</v>
      </c>
      <c r="F33" s="342"/>
      <c r="G33" s="342"/>
      <c r="H33" s="346"/>
      <c r="I33" s="346"/>
      <c r="J33" s="346"/>
      <c r="K33" s="354">
        <v>0.3</v>
      </c>
      <c r="L33" s="354">
        <v>0.4</v>
      </c>
      <c r="M33" s="354">
        <v>0.3</v>
      </c>
      <c r="N33" s="377"/>
      <c r="P33" s="449"/>
    </row>
    <row r="34" spans="1:16" ht="24.75" customHeight="1">
      <c r="A34" s="587"/>
      <c r="B34" s="588"/>
      <c r="C34" s="589"/>
      <c r="D34" s="590"/>
      <c r="E34" s="342" t="s">
        <v>435</v>
      </c>
      <c r="F34" s="342"/>
      <c r="G34" s="342"/>
      <c r="H34" s="350"/>
      <c r="I34" s="350"/>
      <c r="J34" s="350"/>
      <c r="K34" s="359">
        <f>K33*$D$33</f>
        <v>5484.73</v>
      </c>
      <c r="L34" s="359">
        <f>L33*$D$33</f>
        <v>7312.98</v>
      </c>
      <c r="M34" s="359">
        <f>M33*$D$33</f>
        <v>5484.73</v>
      </c>
      <c r="N34" s="380"/>
      <c r="P34" s="1"/>
    </row>
    <row r="35" spans="1:16" ht="24.75" customHeight="1" thickBot="1">
      <c r="A35" s="587">
        <v>15</v>
      </c>
      <c r="B35" s="591" t="s">
        <v>126</v>
      </c>
      <c r="C35" s="589">
        <f>D35/$D$49</f>
        <v>0.0206</v>
      </c>
      <c r="D35" s="590">
        <f>'PLANILHA ORÇAMENTÁRIA '!J132</f>
        <v>11702.97</v>
      </c>
      <c r="E35" s="345" t="s">
        <v>234</v>
      </c>
      <c r="F35" s="354">
        <v>0.05</v>
      </c>
      <c r="G35" s="354">
        <v>0.15</v>
      </c>
      <c r="H35" s="354">
        <v>0.1</v>
      </c>
      <c r="I35" s="354">
        <v>0.4</v>
      </c>
      <c r="J35" s="354">
        <v>0.1</v>
      </c>
      <c r="K35" s="354">
        <v>0.2</v>
      </c>
      <c r="L35" s="346"/>
      <c r="M35" s="346"/>
      <c r="N35" s="377"/>
      <c r="P35" s="449"/>
    </row>
    <row r="36" spans="1:16" ht="24.75" customHeight="1">
      <c r="A36" s="587"/>
      <c r="B36" s="591"/>
      <c r="C36" s="589"/>
      <c r="D36" s="590"/>
      <c r="E36" s="342" t="s">
        <v>435</v>
      </c>
      <c r="F36" s="355">
        <f aca="true" t="shared" si="2" ref="F36:K36">F35*$D$35</f>
        <v>585.15</v>
      </c>
      <c r="G36" s="355">
        <f t="shared" si="2"/>
        <v>1755.45</v>
      </c>
      <c r="H36" s="355">
        <f t="shared" si="2"/>
        <v>1170.3</v>
      </c>
      <c r="I36" s="355">
        <f t="shared" si="2"/>
        <v>4681.19</v>
      </c>
      <c r="J36" s="355">
        <f t="shared" si="2"/>
        <v>1170.3</v>
      </c>
      <c r="K36" s="355">
        <f t="shared" si="2"/>
        <v>2340.59</v>
      </c>
      <c r="L36" s="342"/>
      <c r="M36" s="342"/>
      <c r="N36" s="379"/>
      <c r="P36" s="1"/>
    </row>
    <row r="37" spans="1:16" ht="24.75" customHeight="1" thickBot="1">
      <c r="A37" s="587">
        <v>16</v>
      </c>
      <c r="B37" s="588" t="s">
        <v>134</v>
      </c>
      <c r="C37" s="589">
        <f>D37/$D$49</f>
        <v>0.0051</v>
      </c>
      <c r="D37" s="590">
        <f>'PLANILHA ORÇAMENTÁRIA '!J139</f>
        <v>2878</v>
      </c>
      <c r="E37" s="345" t="s">
        <v>234</v>
      </c>
      <c r="F37" s="344"/>
      <c r="G37" s="346"/>
      <c r="H37" s="346"/>
      <c r="I37" s="344"/>
      <c r="J37" s="354">
        <v>1</v>
      </c>
      <c r="K37" s="344"/>
      <c r="L37" s="344"/>
      <c r="M37" s="344"/>
      <c r="N37" s="377"/>
      <c r="P37" s="449"/>
    </row>
    <row r="38" spans="1:16" ht="24.75" customHeight="1">
      <c r="A38" s="587"/>
      <c r="B38" s="588"/>
      <c r="C38" s="589"/>
      <c r="D38" s="590"/>
      <c r="E38" s="342" t="s">
        <v>435</v>
      </c>
      <c r="F38" s="344"/>
      <c r="G38" s="344"/>
      <c r="H38" s="344"/>
      <c r="I38" s="344"/>
      <c r="J38" s="355">
        <f>J37*$D$37</f>
        <v>2878</v>
      </c>
      <c r="K38" s="344"/>
      <c r="L38" s="344"/>
      <c r="M38" s="344"/>
      <c r="N38" s="379"/>
      <c r="P38" s="1"/>
    </row>
    <row r="39" spans="1:16" ht="24.75" customHeight="1" thickBot="1">
      <c r="A39" s="587">
        <v>17</v>
      </c>
      <c r="B39" s="591" t="s">
        <v>136</v>
      </c>
      <c r="C39" s="589">
        <f>D39/$D$49</f>
        <v>0.0261</v>
      </c>
      <c r="D39" s="590">
        <f>'PLANILHA ORÇAMENTÁRIA '!J150</f>
        <v>14863.59</v>
      </c>
      <c r="E39" s="345" t="s">
        <v>234</v>
      </c>
      <c r="F39" s="346"/>
      <c r="G39" s="346"/>
      <c r="H39" s="346"/>
      <c r="I39" s="346"/>
      <c r="J39" s="354">
        <v>0.3</v>
      </c>
      <c r="K39" s="354">
        <v>0.4</v>
      </c>
      <c r="L39" s="354">
        <v>0.3</v>
      </c>
      <c r="M39" s="344"/>
      <c r="N39" s="377"/>
      <c r="P39" s="449"/>
    </row>
    <row r="40" spans="1:16" ht="24.75" customHeight="1">
      <c r="A40" s="587"/>
      <c r="B40" s="591"/>
      <c r="C40" s="589"/>
      <c r="D40" s="590"/>
      <c r="E40" s="342" t="s">
        <v>435</v>
      </c>
      <c r="F40" s="344"/>
      <c r="G40" s="344"/>
      <c r="H40" s="344"/>
      <c r="I40" s="344"/>
      <c r="J40" s="355">
        <f>J39*$D$39</f>
        <v>4459.08</v>
      </c>
      <c r="K40" s="355">
        <f>K39*$D$39</f>
        <v>5945.44</v>
      </c>
      <c r="L40" s="355">
        <f>L39*$D$39</f>
        <v>4459.08</v>
      </c>
      <c r="M40" s="344"/>
      <c r="N40" s="379"/>
      <c r="P40" s="1"/>
    </row>
    <row r="41" spans="1:16" ht="24.75" customHeight="1" thickBot="1">
      <c r="A41" s="587">
        <v>18</v>
      </c>
      <c r="B41" s="588" t="s">
        <v>147</v>
      </c>
      <c r="C41" s="589">
        <f>D41/$D$49</f>
        <v>0.0024</v>
      </c>
      <c r="D41" s="590">
        <f>'PLANILHA ORÇAMENTÁRIA '!J153</f>
        <v>1370.59</v>
      </c>
      <c r="E41" s="345" t="s">
        <v>234</v>
      </c>
      <c r="F41" s="344"/>
      <c r="G41" s="344"/>
      <c r="H41" s="344"/>
      <c r="I41" s="344"/>
      <c r="J41" s="346"/>
      <c r="K41" s="346"/>
      <c r="L41" s="344"/>
      <c r="M41" s="354">
        <v>1</v>
      </c>
      <c r="N41" s="377"/>
      <c r="P41" s="449"/>
    </row>
    <row r="42" spans="1:16" ht="24.75" customHeight="1">
      <c r="A42" s="587"/>
      <c r="B42" s="588"/>
      <c r="C42" s="589"/>
      <c r="D42" s="590"/>
      <c r="E42" s="342" t="s">
        <v>435</v>
      </c>
      <c r="F42" s="344"/>
      <c r="G42" s="344"/>
      <c r="H42" s="344"/>
      <c r="I42" s="344"/>
      <c r="J42" s="344"/>
      <c r="K42" s="344"/>
      <c r="L42" s="344"/>
      <c r="M42" s="355">
        <f>M41*D41</f>
        <v>1370.59</v>
      </c>
      <c r="N42" s="379"/>
      <c r="P42" s="1"/>
    </row>
    <row r="43" spans="1:16" ht="24.75" customHeight="1" thickBot="1">
      <c r="A43" s="587">
        <v>19</v>
      </c>
      <c r="B43" s="588" t="s">
        <v>27</v>
      </c>
      <c r="C43" s="589">
        <f>D43/$D$49</f>
        <v>0.0741</v>
      </c>
      <c r="D43" s="590">
        <f>'PLANILHA ORÇAMENTÁRIA '!J158</f>
        <v>42185.56</v>
      </c>
      <c r="E43" s="345" t="s">
        <v>234</v>
      </c>
      <c r="F43" s="344"/>
      <c r="G43" s="344"/>
      <c r="H43" s="344"/>
      <c r="I43" s="344"/>
      <c r="J43" s="354">
        <v>0.25</v>
      </c>
      <c r="K43" s="354">
        <v>0.3</v>
      </c>
      <c r="L43" s="354">
        <v>0.2</v>
      </c>
      <c r="M43" s="354">
        <v>0.2</v>
      </c>
      <c r="N43" s="375">
        <v>0.05</v>
      </c>
      <c r="P43" s="449"/>
    </row>
    <row r="44" spans="1:16" ht="24.75" customHeight="1">
      <c r="A44" s="587"/>
      <c r="B44" s="588"/>
      <c r="C44" s="589"/>
      <c r="D44" s="590"/>
      <c r="E44" s="342" t="s">
        <v>435</v>
      </c>
      <c r="F44" s="344"/>
      <c r="G44" s="344"/>
      <c r="H44" s="344"/>
      <c r="I44" s="344"/>
      <c r="J44" s="357">
        <f>J43*$D$43-0.01</f>
        <v>10546.38</v>
      </c>
      <c r="K44" s="357">
        <f>K43*$D$43-0.01</f>
        <v>12655.66</v>
      </c>
      <c r="L44" s="357">
        <f>L43*$D$43-0.01</f>
        <v>8437.1</v>
      </c>
      <c r="M44" s="357">
        <f>M43*$D$43-0.01</f>
        <v>8437.1</v>
      </c>
      <c r="N44" s="381">
        <f>N43*$D$43</f>
        <v>2109.28</v>
      </c>
      <c r="P44" s="1"/>
    </row>
    <row r="45" spans="1:16" ht="24.75" customHeight="1" thickBot="1">
      <c r="A45" s="587">
        <v>20</v>
      </c>
      <c r="B45" s="588" t="s">
        <v>154</v>
      </c>
      <c r="C45" s="589">
        <f>D45/$D$49+0.0002</f>
        <v>0.0174</v>
      </c>
      <c r="D45" s="590">
        <f>'PLANILHA ORÇAMENTÁRIA '!J164</f>
        <v>9797.42</v>
      </c>
      <c r="E45" s="345" t="s">
        <v>234</v>
      </c>
      <c r="F45" s="344"/>
      <c r="G45" s="346"/>
      <c r="H45" s="346"/>
      <c r="I45" s="346"/>
      <c r="J45" s="346"/>
      <c r="K45" s="346"/>
      <c r="L45" s="346"/>
      <c r="M45" s="354">
        <v>0.1</v>
      </c>
      <c r="N45" s="375">
        <v>0.9</v>
      </c>
      <c r="P45" s="449"/>
    </row>
    <row r="46" spans="1:16" ht="26.25" customHeight="1">
      <c r="A46" s="587"/>
      <c r="B46" s="588"/>
      <c r="C46" s="589"/>
      <c r="D46" s="590"/>
      <c r="E46" s="342" t="s">
        <v>435</v>
      </c>
      <c r="F46" s="344"/>
      <c r="G46" s="344"/>
      <c r="H46" s="344"/>
      <c r="I46" s="344"/>
      <c r="J46" s="344"/>
      <c r="K46" s="344"/>
      <c r="L46" s="344"/>
      <c r="M46" s="355">
        <f>M45*$D$45</f>
        <v>979.74</v>
      </c>
      <c r="N46" s="381">
        <f>N45*$D$45</f>
        <v>8817.68</v>
      </c>
      <c r="P46" s="1"/>
    </row>
    <row r="47" spans="1:16" ht="24.75" customHeight="1" thickBot="1">
      <c r="A47" s="587">
        <v>21</v>
      </c>
      <c r="B47" s="588" t="s">
        <v>437</v>
      </c>
      <c r="C47" s="589">
        <f>D47/$D$49</f>
        <v>0.0075</v>
      </c>
      <c r="D47" s="590">
        <f>'PLANILHA ORÇAMENTÁRIA '!J167</f>
        <v>4273.3</v>
      </c>
      <c r="E47" s="345" t="s">
        <v>234</v>
      </c>
      <c r="F47" s="346"/>
      <c r="G47" s="346"/>
      <c r="H47" s="346"/>
      <c r="I47" s="346"/>
      <c r="J47" s="346"/>
      <c r="K47" s="346"/>
      <c r="L47" s="346"/>
      <c r="M47" s="346"/>
      <c r="N47" s="375">
        <v>1</v>
      </c>
      <c r="P47" s="449"/>
    </row>
    <row r="48" spans="1:16" ht="18" customHeight="1">
      <c r="A48" s="587"/>
      <c r="B48" s="588"/>
      <c r="C48" s="589"/>
      <c r="D48" s="590"/>
      <c r="E48" s="342" t="s">
        <v>435</v>
      </c>
      <c r="F48" s="344"/>
      <c r="G48" s="344"/>
      <c r="H48" s="344"/>
      <c r="I48" s="344"/>
      <c r="J48" s="344"/>
      <c r="K48" s="344"/>
      <c r="L48" s="344"/>
      <c r="M48" s="344"/>
      <c r="N48" s="381">
        <f>N47*D47</f>
        <v>4273.3</v>
      </c>
      <c r="P48" s="1"/>
    </row>
    <row r="49" spans="1:14" ht="24.75" customHeight="1">
      <c r="A49" s="580" t="s">
        <v>425</v>
      </c>
      <c r="B49" s="581"/>
      <c r="C49" s="366">
        <f>C7+C9+C11+C13+C15+C17+C19+C21+C23+C25+C27+C29+C31+C33+C35+C37+C39+C41+C43+C45+C47</f>
        <v>1.0001</v>
      </c>
      <c r="D49" s="367">
        <f>D7+D9+D11+D13+D15+D17+D19+D21+D23+D25+D27+D29+D31+D33+D35+D37+D39+D41+D43+D45+D47</f>
        <v>569309.99</v>
      </c>
      <c r="E49" s="351"/>
      <c r="F49" s="352"/>
      <c r="G49" s="352"/>
      <c r="H49" s="352"/>
      <c r="I49" s="352"/>
      <c r="J49" s="352"/>
      <c r="K49" s="352"/>
      <c r="L49" s="352"/>
      <c r="M49" s="352"/>
      <c r="N49" s="382"/>
    </row>
    <row r="50" spans="1:14" ht="24.75" customHeight="1">
      <c r="A50" s="603" t="s">
        <v>440</v>
      </c>
      <c r="B50" s="604"/>
      <c r="C50" s="604"/>
      <c r="D50" s="605"/>
      <c r="E50" s="368" t="s">
        <v>435</v>
      </c>
      <c r="F50" s="369">
        <f>F8+F10+F12+F14+F16+F18+F20+F22+F24+F26+F28+F30+F32+F34+F36+F38+F40+F42+F44+F46+F48</f>
        <v>41606.13</v>
      </c>
      <c r="G50" s="369">
        <f aca="true" t="shared" si="3" ref="G50:M50">G8+G10+G12+G14+G16+G18+G20+G22+G24+G26+G28+G30+G32+G34+G36+G38+G40+G42+G44+G46+G48</f>
        <v>55457.44</v>
      </c>
      <c r="H50" s="369">
        <f t="shared" si="3"/>
        <v>72814.32</v>
      </c>
      <c r="I50" s="369">
        <f t="shared" si="3"/>
        <v>53961.3</v>
      </c>
      <c r="J50" s="369">
        <f t="shared" si="3"/>
        <v>53968.22</v>
      </c>
      <c r="K50" s="369">
        <f t="shared" si="3"/>
        <v>88138.68</v>
      </c>
      <c r="L50" s="369">
        <f t="shared" si="3"/>
        <v>111716.83</v>
      </c>
      <c r="M50" s="369">
        <f t="shared" si="3"/>
        <v>68668.49</v>
      </c>
      <c r="N50" s="371">
        <f>N8+N10+N12+N14+N16+N18+N20+N22+N24+N26+N28+N30+N32+N34+N36+N38+N40+N42+N44+N46+N48+0.05</f>
        <v>22978.6</v>
      </c>
    </row>
    <row r="51" spans="1:14" ht="30" customHeight="1">
      <c r="A51" s="606" t="s">
        <v>441</v>
      </c>
      <c r="B51" s="607"/>
      <c r="C51" s="607"/>
      <c r="D51" s="608"/>
      <c r="E51" s="345" t="s">
        <v>234</v>
      </c>
      <c r="F51" s="373">
        <f>F50/$D$49</f>
        <v>0.073082</v>
      </c>
      <c r="G51" s="373">
        <f aca="true" t="shared" si="4" ref="G51:N51">G50/$D$49</f>
        <v>0.097412</v>
      </c>
      <c r="H51" s="373">
        <f t="shared" si="4"/>
        <v>0.127899</v>
      </c>
      <c r="I51" s="373">
        <f t="shared" si="4"/>
        <v>0.094784</v>
      </c>
      <c r="J51" s="373">
        <f t="shared" si="4"/>
        <v>0.094796</v>
      </c>
      <c r="K51" s="373">
        <f t="shared" si="4"/>
        <v>0.154817</v>
      </c>
      <c r="L51" s="373">
        <f t="shared" si="4"/>
        <v>0.196232</v>
      </c>
      <c r="M51" s="373">
        <f t="shared" si="4"/>
        <v>0.120617</v>
      </c>
      <c r="N51" s="372">
        <f t="shared" si="4"/>
        <v>0.040362</v>
      </c>
    </row>
    <row r="52" spans="1:14" ht="30" customHeight="1">
      <c r="A52" s="603" t="s">
        <v>442</v>
      </c>
      <c r="B52" s="604"/>
      <c r="C52" s="604"/>
      <c r="D52" s="605"/>
      <c r="E52" s="345" t="s">
        <v>435</v>
      </c>
      <c r="F52" s="370">
        <f>F50</f>
        <v>41606.13</v>
      </c>
      <c r="G52" s="370">
        <f aca="true" t="shared" si="5" ref="G52:M52">F52+G50</f>
        <v>97063.57</v>
      </c>
      <c r="H52" s="370">
        <f t="shared" si="5"/>
        <v>169877.89</v>
      </c>
      <c r="I52" s="370">
        <f t="shared" si="5"/>
        <v>223839.19</v>
      </c>
      <c r="J52" s="370">
        <f t="shared" si="5"/>
        <v>277807.41</v>
      </c>
      <c r="K52" s="370">
        <f t="shared" si="5"/>
        <v>365946.09</v>
      </c>
      <c r="L52" s="370">
        <f t="shared" si="5"/>
        <v>477662.92</v>
      </c>
      <c r="M52" s="370">
        <f t="shared" si="5"/>
        <v>546331.41</v>
      </c>
      <c r="N52" s="371">
        <v>569309.99</v>
      </c>
    </row>
    <row r="53" spans="1:14" ht="30" customHeight="1" thickBot="1">
      <c r="A53" s="582" t="s">
        <v>443</v>
      </c>
      <c r="B53" s="583"/>
      <c r="C53" s="583"/>
      <c r="D53" s="584"/>
      <c r="E53" s="383" t="s">
        <v>234</v>
      </c>
      <c r="F53" s="384">
        <f>F51</f>
        <v>0.073082</v>
      </c>
      <c r="G53" s="384">
        <f>F53+G51</f>
        <v>0.170494</v>
      </c>
      <c r="H53" s="384">
        <f aca="true" t="shared" si="6" ref="H53:M53">G53+H51</f>
        <v>0.298393</v>
      </c>
      <c r="I53" s="384">
        <f t="shared" si="6"/>
        <v>0.393177</v>
      </c>
      <c r="J53" s="384">
        <f t="shared" si="6"/>
        <v>0.487973</v>
      </c>
      <c r="K53" s="384">
        <f t="shared" si="6"/>
        <v>0.64279</v>
      </c>
      <c r="L53" s="384">
        <f t="shared" si="6"/>
        <v>0.839022</v>
      </c>
      <c r="M53" s="384">
        <f t="shared" si="6"/>
        <v>0.959639</v>
      </c>
      <c r="N53" s="450">
        <f>M53+N51</f>
        <v>1</v>
      </c>
    </row>
    <row r="54" spans="1:14" ht="21" customHeight="1">
      <c r="A54" s="337"/>
      <c r="B54" s="337"/>
      <c r="C54" s="337"/>
      <c r="D54" s="337"/>
      <c r="E54" s="337"/>
      <c r="F54" s="338"/>
      <c r="G54" s="338"/>
      <c r="H54" s="338"/>
      <c r="I54" s="338"/>
      <c r="J54" s="338"/>
      <c r="K54" s="338"/>
      <c r="L54" s="338"/>
      <c r="M54" s="338"/>
      <c r="N54" s="338"/>
    </row>
  </sheetData>
  <sheetProtection/>
  <mergeCells count="98">
    <mergeCell ref="A50:D50"/>
    <mergeCell ref="A51:D51"/>
    <mergeCell ref="A52:D52"/>
    <mergeCell ref="A1:N1"/>
    <mergeCell ref="A2:N2"/>
    <mergeCell ref="A5:A6"/>
    <mergeCell ref="B5:B6"/>
    <mergeCell ref="E5:E6"/>
    <mergeCell ref="F5:N5"/>
    <mergeCell ref="A3:N3"/>
    <mergeCell ref="A4:N4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A23:A24"/>
    <mergeCell ref="B23:B24"/>
    <mergeCell ref="C23:C24"/>
    <mergeCell ref="D23:D24"/>
    <mergeCell ref="A19:A20"/>
    <mergeCell ref="B19:B20"/>
    <mergeCell ref="C19:C20"/>
    <mergeCell ref="D19:D20"/>
    <mergeCell ref="A21:A22"/>
    <mergeCell ref="B21:B22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49:B49"/>
    <mergeCell ref="A53:D53"/>
    <mergeCell ref="C5:D5"/>
    <mergeCell ref="A45:A46"/>
    <mergeCell ref="B45:B46"/>
    <mergeCell ref="C45:C46"/>
    <mergeCell ref="D45:D46"/>
    <mergeCell ref="A47:A48"/>
    <mergeCell ref="B47:B48"/>
    <mergeCell ref="C47:C48"/>
  </mergeCells>
  <conditionalFormatting sqref="J10:J11 J13">
    <cfRule type="expression" priority="58" dxfId="101">
      <formula>ABS(J10-N10)/N10&gt;CRONOGRAMA!#REF!</formula>
    </cfRule>
  </conditionalFormatting>
  <conditionalFormatting sqref="F10:F16">
    <cfRule type="expression" priority="57" dxfId="101">
      <formula>ABS(F10-N10)/N10&gt;CRONOGRAMA!#REF!</formula>
    </cfRule>
  </conditionalFormatting>
  <conditionalFormatting sqref="F19">
    <cfRule type="expression" priority="54" dxfId="101">
      <formula>ABS(F19-N19)/N19&gt;CRONOGRAMA!#REF!</formula>
    </cfRule>
  </conditionalFormatting>
  <conditionalFormatting sqref="J19">
    <cfRule type="expression" priority="55" dxfId="101">
      <formula>ABS(J19-N19)/N19&gt;CRONOGRAMA!#REF!</formula>
    </cfRule>
  </conditionalFormatting>
  <conditionalFormatting sqref="J10:J11 J13">
    <cfRule type="expression" priority="53" dxfId="101">
      <formula>ABS(J10-CRONOGRAMA!#REF!)/CRONOGRAMA!#REF!&gt;CRONOGRAMA!#REF!</formula>
    </cfRule>
  </conditionalFormatting>
  <conditionalFormatting sqref="J20">
    <cfRule type="expression" priority="38" dxfId="101">
      <formula>ABS(J20-N20)/N20&gt;CRONOGRAMA!#REF!</formula>
    </cfRule>
  </conditionalFormatting>
  <conditionalFormatting sqref="F20">
    <cfRule type="expression" priority="41" dxfId="101">
      <formula>ABS(F20-N20)/N20&gt;CRONOGRAMA!#REF!</formula>
    </cfRule>
  </conditionalFormatting>
  <conditionalFormatting sqref="J20">
    <cfRule type="expression" priority="42" dxfId="101">
      <formula>ABS(J20-N20)/N20&gt;CRONOGRAMA!#REF!</formula>
    </cfRule>
  </conditionalFormatting>
  <conditionalFormatting sqref="F20">
    <cfRule type="expression" priority="39" dxfId="101">
      <formula>ABS(F20-N20)/N20&gt;CRONOGRAMA!#REF!</formula>
    </cfRule>
  </conditionalFormatting>
  <conditionalFormatting sqref="F21">
    <cfRule type="expression" priority="35" dxfId="101">
      <formula>ABS(F21-N21)/N21&gt;CRONOGRAMA!#REF!</formula>
    </cfRule>
  </conditionalFormatting>
  <conditionalFormatting sqref="F21">
    <cfRule type="expression" priority="33" dxfId="101">
      <formula>ABS(F21-N21)/N21&gt;CRONOGRAMA!#REF!</formula>
    </cfRule>
  </conditionalFormatting>
  <conditionalFormatting sqref="F22">
    <cfRule type="expression" priority="29" dxfId="101">
      <formula>ABS(F22-N22)/N22&gt;CRONOGRAMA!#REF!</formula>
    </cfRule>
  </conditionalFormatting>
  <conditionalFormatting sqref="F23">
    <cfRule type="expression" priority="26" dxfId="101">
      <formula>ABS(F23-N23)/N23&gt;CRONOGRAMA!#REF!</formula>
    </cfRule>
  </conditionalFormatting>
  <conditionalFormatting sqref="J12">
    <cfRule type="expression" priority="23" dxfId="101">
      <formula>ABS(J12-N12)/N12&gt;CRONOGRAMA!#REF!</formula>
    </cfRule>
  </conditionalFormatting>
  <conditionalFormatting sqref="J12">
    <cfRule type="expression" priority="22" dxfId="101">
      <formula>ABS(J12-CRONOGRAMA!#REF!)/CRONOGRAMA!#REF!&gt;CRONOGRAMA!#REF!</formula>
    </cfRule>
  </conditionalFormatting>
  <conditionalFormatting sqref="J14">
    <cfRule type="expression" priority="21" dxfId="101">
      <formula>ABS(J14-N14)/N14&gt;CRONOGRAMA!#REF!</formula>
    </cfRule>
  </conditionalFormatting>
  <conditionalFormatting sqref="J14">
    <cfRule type="expression" priority="20" dxfId="101">
      <formula>ABS(J14-CRONOGRAMA!#REF!)/CRONOGRAMA!#REF!&gt;CRONOGRAMA!#REF!</formula>
    </cfRule>
  </conditionalFormatting>
  <conditionalFormatting sqref="J17">
    <cfRule type="expression" priority="3" dxfId="101">
      <formula>ABS(J17-CRONOGRAMA!#REF!)/CRONOGRAMA!#REF!&gt;CRONOGRAMA!#REF!</formula>
    </cfRule>
  </conditionalFormatting>
  <conditionalFormatting sqref="J18">
    <cfRule type="expression" priority="1" dxfId="101">
      <formula>ABS(J18-CRONOGRAMA!#REF!)/CRONOGRAMA!#REF!&gt;CRONOGRAMA!#REF!</formula>
    </cfRule>
  </conditionalFormatting>
  <conditionalFormatting sqref="J15">
    <cfRule type="expression" priority="12" dxfId="101">
      <formula>ABS(J15-N15)/N15&gt;CRONOGRAMA!#REF!</formula>
    </cfRule>
  </conditionalFormatting>
  <conditionalFormatting sqref="J15">
    <cfRule type="expression" priority="11" dxfId="101">
      <formula>ABS(J15-CRONOGRAMA!#REF!)/CRONOGRAMA!#REF!&gt;CRONOGRAMA!#REF!</formula>
    </cfRule>
  </conditionalFormatting>
  <conditionalFormatting sqref="J16">
    <cfRule type="expression" priority="10" dxfId="101">
      <formula>ABS(J16-N16)/N16&gt;CRONOGRAMA!#REF!</formula>
    </cfRule>
  </conditionalFormatting>
  <conditionalFormatting sqref="J16">
    <cfRule type="expression" priority="9" dxfId="101">
      <formula>ABS(J16-CRONOGRAMA!#REF!)/CRONOGRAMA!#REF!&gt;CRONOGRAMA!#REF!</formula>
    </cfRule>
  </conditionalFormatting>
  <conditionalFormatting sqref="F17">
    <cfRule type="expression" priority="8" dxfId="101">
      <formula>ABS(F17-N17)/N17&gt;CRONOGRAMA!#REF!</formula>
    </cfRule>
  </conditionalFormatting>
  <conditionalFormatting sqref="F17">
    <cfRule type="expression" priority="7" dxfId="101">
      <formula>ABS(F17-N17)/N17&gt;CRONOGRAMA!#REF!</formula>
    </cfRule>
  </conditionalFormatting>
  <conditionalFormatting sqref="F18">
    <cfRule type="expression" priority="6" dxfId="101">
      <formula>ABS(F18-N18)/N18&gt;CRONOGRAMA!#REF!</formula>
    </cfRule>
  </conditionalFormatting>
  <conditionalFormatting sqref="F18">
    <cfRule type="expression" priority="5" dxfId="101">
      <formula>ABS(F18-N18)/N18&gt;CRONOGRAMA!#REF!</formula>
    </cfRule>
  </conditionalFormatting>
  <conditionalFormatting sqref="J17">
    <cfRule type="expression" priority="4" dxfId="101">
      <formula>ABS(J17-N17)/N17&gt;CRONOGRAMA!#REF!</formula>
    </cfRule>
  </conditionalFormatting>
  <conditionalFormatting sqref="J18">
    <cfRule type="expression" priority="2" dxfId="101">
      <formula>ABS(J18-N18)/N18&gt;CRONOGRAMA!#REF!</formula>
    </cfRule>
  </conditionalFormatting>
  <printOptions horizontalCentered="1"/>
  <pageMargins left="0.5118110236220472" right="0.5118110236220472" top="0.7874015748031497" bottom="0.984251968503937" header="0.31496062992125984" footer="0.31496062992125984"/>
  <pageSetup horizontalDpi="600" verticalDpi="600" orientation="landscape" paperSize="9" scale="75" r:id="rId3"/>
  <headerFooter>
    <oddFooter>&amp;L&amp;G&amp;CAvenida Getúlio Vargas, 1.710 – 7° andar - Funcionários – Belo Horizonte - MG. CEP:30112-021&amp;R&amp;P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P4" sqref="P4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2.375" style="0" customWidth="1"/>
    <col min="9" max="9" width="13.125" style="0" bestFit="1" customWidth="1"/>
  </cols>
  <sheetData>
    <row r="1" spans="1:9" ht="15.75">
      <c r="A1" s="666" t="s">
        <v>204</v>
      </c>
      <c r="B1" s="667"/>
      <c r="C1" s="667"/>
      <c r="D1" s="667"/>
      <c r="E1" s="667"/>
      <c r="F1" s="667"/>
      <c r="G1" s="667"/>
      <c r="H1" s="667"/>
      <c r="I1" s="185"/>
    </row>
    <row r="2" spans="1:9" ht="15.75">
      <c r="A2" s="668"/>
      <c r="B2" s="669"/>
      <c r="C2" s="669"/>
      <c r="D2" s="669"/>
      <c r="E2" s="669"/>
      <c r="F2" s="669"/>
      <c r="G2" s="669"/>
      <c r="H2" s="669"/>
      <c r="I2" s="186"/>
    </row>
    <row r="3" spans="1:9" ht="15.75">
      <c r="A3" s="668"/>
      <c r="B3" s="669"/>
      <c r="C3" s="669"/>
      <c r="D3" s="669"/>
      <c r="E3" s="669"/>
      <c r="F3" s="669"/>
      <c r="G3" s="669"/>
      <c r="H3" s="669"/>
      <c r="I3" s="186"/>
    </row>
    <row r="4" spans="1:9" ht="15.75">
      <c r="A4" s="187"/>
      <c r="B4" s="188"/>
      <c r="C4" s="670" t="s">
        <v>452</v>
      </c>
      <c r="D4" s="670"/>
      <c r="E4" s="670"/>
      <c r="F4" s="671"/>
      <c r="G4" s="189" t="s">
        <v>330</v>
      </c>
      <c r="H4" s="189" t="s">
        <v>331</v>
      </c>
      <c r="I4" s="653" t="s">
        <v>332</v>
      </c>
    </row>
    <row r="5" spans="1:9" ht="15.75">
      <c r="A5" s="187"/>
      <c r="B5" s="190"/>
      <c r="C5" s="672" t="s">
        <v>356</v>
      </c>
      <c r="D5" s="672"/>
      <c r="E5" s="672"/>
      <c r="F5" s="673"/>
      <c r="G5" s="191">
        <v>1.2833</v>
      </c>
      <c r="H5" s="192">
        <v>0.309</v>
      </c>
      <c r="I5" s="653"/>
    </row>
    <row r="6" spans="1:9" ht="15">
      <c r="A6" s="674" t="s">
        <v>333</v>
      </c>
      <c r="B6" s="675"/>
      <c r="C6" s="675"/>
      <c r="D6" s="675"/>
      <c r="E6" s="675"/>
      <c r="F6" s="675"/>
      <c r="G6" s="675"/>
      <c r="H6" s="675"/>
      <c r="I6" s="193">
        <v>43344</v>
      </c>
    </row>
    <row r="7" spans="1:9" ht="15">
      <c r="A7" s="674"/>
      <c r="B7" s="675"/>
      <c r="C7" s="675"/>
      <c r="D7" s="675"/>
      <c r="E7" s="675"/>
      <c r="F7" s="675"/>
      <c r="G7" s="675"/>
      <c r="H7" s="675"/>
      <c r="I7" s="194" t="s">
        <v>546</v>
      </c>
    </row>
    <row r="8" spans="1:9" ht="15">
      <c r="A8" s="195" t="s">
        <v>334</v>
      </c>
      <c r="B8" s="676" t="s">
        <v>547</v>
      </c>
      <c r="C8" s="676"/>
      <c r="D8" s="676"/>
      <c r="E8" s="676"/>
      <c r="F8" s="676"/>
      <c r="G8" s="676"/>
      <c r="H8" s="676"/>
      <c r="I8" s="677"/>
    </row>
    <row r="9" spans="1:9" ht="15">
      <c r="A9" s="196" t="s">
        <v>335</v>
      </c>
      <c r="B9" s="651" t="s">
        <v>216</v>
      </c>
      <c r="C9" s="651"/>
      <c r="D9" s="651"/>
      <c r="E9" s="651"/>
      <c r="F9" s="651"/>
      <c r="G9" s="651"/>
      <c r="H9" s="651"/>
      <c r="I9" s="652"/>
    </row>
    <row r="10" spans="1:9" ht="15">
      <c r="A10" s="197"/>
      <c r="B10" s="198"/>
      <c r="C10" s="199"/>
      <c r="D10" s="199"/>
      <c r="E10" s="199"/>
      <c r="F10" s="198"/>
      <c r="G10" s="200"/>
      <c r="H10" s="201"/>
      <c r="I10" s="202"/>
    </row>
    <row r="11" spans="1:9" ht="15">
      <c r="A11" s="645" t="s">
        <v>336</v>
      </c>
      <c r="B11" s="646"/>
      <c r="C11" s="646"/>
      <c r="D11" s="646"/>
      <c r="E11" s="646"/>
      <c r="F11" s="646"/>
      <c r="G11" s="646"/>
      <c r="H11" s="646"/>
      <c r="I11" s="647"/>
    </row>
    <row r="12" spans="1:9" ht="15">
      <c r="A12" s="203" t="s">
        <v>337</v>
      </c>
      <c r="B12" s="204" t="s">
        <v>338</v>
      </c>
      <c r="C12" s="663" t="s">
        <v>326</v>
      </c>
      <c r="D12" s="664"/>
      <c r="E12" s="665"/>
      <c r="F12" s="204" t="s">
        <v>215</v>
      </c>
      <c r="G12" s="204" t="s">
        <v>339</v>
      </c>
      <c r="H12" s="204" t="s">
        <v>340</v>
      </c>
      <c r="I12" s="205" t="s">
        <v>341</v>
      </c>
    </row>
    <row r="13" spans="1:9" ht="14.25" customHeight="1">
      <c r="A13" s="206">
        <v>312022</v>
      </c>
      <c r="B13" s="207" t="s">
        <v>83</v>
      </c>
      <c r="C13" s="626" t="s">
        <v>548</v>
      </c>
      <c r="D13" s="627" t="s">
        <v>342</v>
      </c>
      <c r="E13" s="628" t="s">
        <v>342</v>
      </c>
      <c r="F13" s="208" t="s">
        <v>219</v>
      </c>
      <c r="G13" s="212">
        <v>9</v>
      </c>
      <c r="H13" s="210">
        <v>3825.05</v>
      </c>
      <c r="I13" s="211">
        <f>G13*H13</f>
        <v>34425.45</v>
      </c>
    </row>
    <row r="14" spans="1:9" ht="15" customHeight="1">
      <c r="A14" s="213">
        <v>40812</v>
      </c>
      <c r="B14" s="35" t="s">
        <v>85</v>
      </c>
      <c r="C14" s="626" t="s">
        <v>696</v>
      </c>
      <c r="D14" s="627"/>
      <c r="E14" s="628"/>
      <c r="F14" s="208" t="s">
        <v>219</v>
      </c>
      <c r="G14" s="212">
        <v>7</v>
      </c>
      <c r="H14" s="210">
        <v>2156.08</v>
      </c>
      <c r="I14" s="211">
        <f>G14*H14</f>
        <v>15092.56</v>
      </c>
    </row>
    <row r="15" spans="1:9" ht="14.25">
      <c r="A15" s="660" t="s">
        <v>345</v>
      </c>
      <c r="B15" s="661"/>
      <c r="C15" s="661"/>
      <c r="D15" s="661"/>
      <c r="E15" s="661"/>
      <c r="F15" s="661"/>
      <c r="G15" s="661"/>
      <c r="H15" s="662"/>
      <c r="I15" s="217">
        <f>SUM(I13:I14)</f>
        <v>49518.01</v>
      </c>
    </row>
    <row r="16" spans="1:9" ht="14.25">
      <c r="A16" s="657"/>
      <c r="B16" s="658"/>
      <c r="C16" s="658"/>
      <c r="D16" s="658"/>
      <c r="E16" s="658"/>
      <c r="F16" s="658"/>
      <c r="G16" s="658"/>
      <c r="H16" s="658"/>
      <c r="I16" s="659"/>
    </row>
    <row r="17" spans="1:11" ht="15">
      <c r="A17" s="645" t="s">
        <v>346</v>
      </c>
      <c r="B17" s="646"/>
      <c r="C17" s="646"/>
      <c r="D17" s="646"/>
      <c r="E17" s="646"/>
      <c r="F17" s="646"/>
      <c r="G17" s="646"/>
      <c r="H17" s="646"/>
      <c r="I17" s="647"/>
      <c r="K17" s="394"/>
    </row>
    <row r="18" spans="1:9" ht="15">
      <c r="A18" s="203" t="s">
        <v>337</v>
      </c>
      <c r="B18" s="204" t="s">
        <v>338</v>
      </c>
      <c r="C18" s="663" t="s">
        <v>326</v>
      </c>
      <c r="D18" s="664"/>
      <c r="E18" s="665"/>
      <c r="F18" s="204" t="s">
        <v>215</v>
      </c>
      <c r="G18" s="204" t="s">
        <v>339</v>
      </c>
      <c r="H18" s="204" t="s">
        <v>340</v>
      </c>
      <c r="I18" s="205" t="s">
        <v>341</v>
      </c>
    </row>
    <row r="19" spans="1:9" ht="27" customHeight="1">
      <c r="A19" s="233"/>
      <c r="B19" s="234"/>
      <c r="C19" s="626"/>
      <c r="D19" s="627"/>
      <c r="E19" s="628"/>
      <c r="F19" s="207"/>
      <c r="G19" s="209"/>
      <c r="H19" s="218"/>
      <c r="I19" s="219"/>
    </row>
    <row r="20" spans="1:9" ht="26.25" customHeight="1">
      <c r="A20" s="220"/>
      <c r="B20" s="35"/>
      <c r="C20" s="629"/>
      <c r="D20" s="630"/>
      <c r="E20" s="631"/>
      <c r="F20" s="35"/>
      <c r="G20" s="212"/>
      <c r="H20" s="218"/>
      <c r="I20" s="219"/>
    </row>
    <row r="21" spans="1:12" ht="31.5" customHeight="1">
      <c r="A21" s="206"/>
      <c r="B21" s="207"/>
      <c r="C21" s="629"/>
      <c r="D21" s="632"/>
      <c r="E21" s="633"/>
      <c r="F21" s="207"/>
      <c r="G21" s="212"/>
      <c r="H21" s="218"/>
      <c r="I21" s="221"/>
      <c r="L21" s="38"/>
    </row>
    <row r="22" spans="1:9" ht="31.5" customHeight="1">
      <c r="A22" s="206"/>
      <c r="B22" s="207"/>
      <c r="C22" s="636"/>
      <c r="D22" s="637"/>
      <c r="E22" s="638"/>
      <c r="F22" s="207"/>
      <c r="G22" s="222"/>
      <c r="H22" s="218"/>
      <c r="I22" s="221"/>
    </row>
    <row r="23" spans="1:9" ht="36.75" customHeight="1">
      <c r="A23" s="235"/>
      <c r="B23" s="236"/>
      <c r="C23" s="639"/>
      <c r="D23" s="640"/>
      <c r="E23" s="641"/>
      <c r="F23" s="237"/>
      <c r="G23" s="238"/>
      <c r="H23" s="239"/>
      <c r="I23" s="240"/>
    </row>
    <row r="24" spans="1:9" ht="33" customHeight="1">
      <c r="A24" s="223"/>
      <c r="B24" s="224"/>
      <c r="C24" s="642"/>
      <c r="D24" s="643"/>
      <c r="E24" s="644"/>
      <c r="F24" s="225"/>
      <c r="G24" s="226"/>
      <c r="H24" s="227"/>
      <c r="I24" s="228"/>
    </row>
    <row r="25" spans="1:9" ht="14.25">
      <c r="A25" s="660" t="s">
        <v>347</v>
      </c>
      <c r="B25" s="661"/>
      <c r="C25" s="661"/>
      <c r="D25" s="661"/>
      <c r="E25" s="661"/>
      <c r="F25" s="661"/>
      <c r="G25" s="661"/>
      <c r="H25" s="662"/>
      <c r="I25" s="217">
        <f>SUM(I19:I24)</f>
        <v>0</v>
      </c>
    </row>
    <row r="26" spans="1:9" ht="14.25">
      <c r="A26" s="657"/>
      <c r="B26" s="658"/>
      <c r="C26" s="658"/>
      <c r="D26" s="658"/>
      <c r="E26" s="658"/>
      <c r="F26" s="658"/>
      <c r="G26" s="658"/>
      <c r="H26" s="658"/>
      <c r="I26" s="659"/>
    </row>
    <row r="27" spans="1:9" ht="15">
      <c r="A27" s="645" t="s">
        <v>348</v>
      </c>
      <c r="B27" s="646"/>
      <c r="C27" s="646"/>
      <c r="D27" s="646"/>
      <c r="E27" s="646"/>
      <c r="F27" s="646"/>
      <c r="G27" s="646"/>
      <c r="H27" s="646"/>
      <c r="I27" s="647"/>
    </row>
    <row r="28" spans="1:9" ht="15">
      <c r="A28" s="229" t="s">
        <v>337</v>
      </c>
      <c r="B28" s="230" t="s">
        <v>338</v>
      </c>
      <c r="C28" s="678" t="s">
        <v>326</v>
      </c>
      <c r="D28" s="679"/>
      <c r="E28" s="680"/>
      <c r="F28" s="230" t="s">
        <v>215</v>
      </c>
      <c r="G28" s="230" t="s">
        <v>339</v>
      </c>
      <c r="H28" s="230" t="s">
        <v>340</v>
      </c>
      <c r="I28" s="231" t="s">
        <v>341</v>
      </c>
    </row>
    <row r="29" spans="1:9" ht="14.25">
      <c r="A29" s="206"/>
      <c r="B29" s="207"/>
      <c r="C29" s="636"/>
      <c r="D29" s="681"/>
      <c r="E29" s="682"/>
      <c r="F29" s="207"/>
      <c r="G29" s="207"/>
      <c r="H29" s="218"/>
      <c r="I29" s="221"/>
    </row>
    <row r="30" spans="1:9" ht="14.25">
      <c r="A30" s="214"/>
      <c r="B30" s="215"/>
      <c r="C30" s="636"/>
      <c r="D30" s="637"/>
      <c r="E30" s="638"/>
      <c r="F30" s="215"/>
      <c r="G30" s="215"/>
      <c r="H30" s="215"/>
      <c r="I30" s="216"/>
    </row>
    <row r="31" spans="1:9" ht="15">
      <c r="A31" s="214"/>
      <c r="B31" s="215"/>
      <c r="C31" s="683"/>
      <c r="D31" s="684"/>
      <c r="E31" s="685"/>
      <c r="F31" s="215"/>
      <c r="G31" s="215"/>
      <c r="H31" s="215"/>
      <c r="I31" s="216"/>
    </row>
    <row r="32" spans="1:9" ht="14.25">
      <c r="A32" s="660" t="s">
        <v>349</v>
      </c>
      <c r="B32" s="661"/>
      <c r="C32" s="661"/>
      <c r="D32" s="661"/>
      <c r="E32" s="661"/>
      <c r="F32" s="661"/>
      <c r="G32" s="661"/>
      <c r="H32" s="662"/>
      <c r="I32" s="217"/>
    </row>
    <row r="33" spans="1:9" ht="14.25">
      <c r="A33" s="657"/>
      <c r="B33" s="658"/>
      <c r="C33" s="658"/>
      <c r="D33" s="658"/>
      <c r="E33" s="658"/>
      <c r="F33" s="658"/>
      <c r="G33" s="658"/>
      <c r="H33" s="658"/>
      <c r="I33" s="659"/>
    </row>
    <row r="34" spans="1:9" ht="15">
      <c r="A34" s="645" t="s">
        <v>350</v>
      </c>
      <c r="B34" s="646"/>
      <c r="C34" s="646"/>
      <c r="D34" s="646"/>
      <c r="E34" s="646"/>
      <c r="F34" s="646"/>
      <c r="G34" s="646"/>
      <c r="H34" s="646"/>
      <c r="I34" s="647"/>
    </row>
    <row r="35" spans="1:9" ht="15">
      <c r="A35" s="648" t="s">
        <v>351</v>
      </c>
      <c r="B35" s="649"/>
      <c r="C35" s="649"/>
      <c r="D35" s="649"/>
      <c r="E35" s="649"/>
      <c r="F35" s="649"/>
      <c r="G35" s="649"/>
      <c r="H35" s="650"/>
      <c r="I35" s="217">
        <f>I15</f>
        <v>49518.01</v>
      </c>
    </row>
    <row r="36" spans="1:9" ht="15">
      <c r="A36" s="648" t="s">
        <v>352</v>
      </c>
      <c r="B36" s="649"/>
      <c r="C36" s="649"/>
      <c r="D36" s="649"/>
      <c r="E36" s="649"/>
      <c r="F36" s="649"/>
      <c r="G36" s="649"/>
      <c r="H36" s="650"/>
      <c r="I36" s="217">
        <f>I25</f>
        <v>0</v>
      </c>
    </row>
    <row r="37" spans="1:9" ht="15">
      <c r="A37" s="648" t="s">
        <v>349</v>
      </c>
      <c r="B37" s="649"/>
      <c r="C37" s="649"/>
      <c r="D37" s="649"/>
      <c r="E37" s="649"/>
      <c r="F37" s="649"/>
      <c r="G37" s="649"/>
      <c r="H37" s="650"/>
      <c r="I37" s="217">
        <f>I32</f>
        <v>0</v>
      </c>
    </row>
    <row r="38" spans="1:9" ht="15">
      <c r="A38" s="648" t="s">
        <v>353</v>
      </c>
      <c r="B38" s="649"/>
      <c r="C38" s="649"/>
      <c r="D38" s="649"/>
      <c r="E38" s="649"/>
      <c r="F38" s="649"/>
      <c r="G38" s="649"/>
      <c r="H38" s="650"/>
      <c r="I38" s="216"/>
    </row>
    <row r="39" spans="1:9" ht="15">
      <c r="A39" s="648" t="s">
        <v>354</v>
      </c>
      <c r="B39" s="649"/>
      <c r="C39" s="649"/>
      <c r="D39" s="649"/>
      <c r="E39" s="649"/>
      <c r="F39" s="649"/>
      <c r="G39" s="649"/>
      <c r="H39" s="650"/>
      <c r="I39" s="217">
        <f>SUM(I35:I37)</f>
        <v>49518.01</v>
      </c>
    </row>
    <row r="40" spans="1:9" ht="15">
      <c r="A40" s="648" t="s">
        <v>357</v>
      </c>
      <c r="B40" s="649"/>
      <c r="C40" s="649"/>
      <c r="D40" s="649"/>
      <c r="E40" s="649"/>
      <c r="F40" s="649"/>
      <c r="G40" s="649"/>
      <c r="H40" s="650"/>
      <c r="I40" s="217">
        <f>I39*30.9%</f>
        <v>15301.07</v>
      </c>
    </row>
    <row r="41" spans="1:9" ht="15">
      <c r="A41" s="634" t="s">
        <v>355</v>
      </c>
      <c r="B41" s="635"/>
      <c r="C41" s="635"/>
      <c r="D41" s="635"/>
      <c r="E41" s="635"/>
      <c r="F41" s="635"/>
      <c r="G41" s="635"/>
      <c r="H41" s="635"/>
      <c r="I41" s="232">
        <f>I39+I40</f>
        <v>64819.08</v>
      </c>
    </row>
    <row r="42" spans="1:9" ht="15" thickBot="1">
      <c r="A42" s="654"/>
      <c r="B42" s="655"/>
      <c r="C42" s="655"/>
      <c r="D42" s="655"/>
      <c r="E42" s="655"/>
      <c r="F42" s="655"/>
      <c r="G42" s="655"/>
      <c r="H42" s="655"/>
      <c r="I42" s="656"/>
    </row>
  </sheetData>
  <sheetProtection/>
  <mergeCells count="39">
    <mergeCell ref="C28:E28"/>
    <mergeCell ref="C29:E29"/>
    <mergeCell ref="A38:H38"/>
    <mergeCell ref="A39:H39"/>
    <mergeCell ref="A40:H40"/>
    <mergeCell ref="C30:E30"/>
    <mergeCell ref="C31:E31"/>
    <mergeCell ref="A32:H32"/>
    <mergeCell ref="A35:H35"/>
    <mergeCell ref="C14:E14"/>
    <mergeCell ref="A15:H15"/>
    <mergeCell ref="A16:I16"/>
    <mergeCell ref="A1:H3"/>
    <mergeCell ref="C4:F4"/>
    <mergeCell ref="C5:F5"/>
    <mergeCell ref="A6:H7"/>
    <mergeCell ref="B8:I8"/>
    <mergeCell ref="A11:I11"/>
    <mergeCell ref="C12:E12"/>
    <mergeCell ref="B9:I9"/>
    <mergeCell ref="I4:I5"/>
    <mergeCell ref="A42:I42"/>
    <mergeCell ref="A33:I33"/>
    <mergeCell ref="A34:I34"/>
    <mergeCell ref="A25:H25"/>
    <mergeCell ref="A26:I26"/>
    <mergeCell ref="C13:E13"/>
    <mergeCell ref="A17:I17"/>
    <mergeCell ref="C18:E18"/>
    <mergeCell ref="C19:E19"/>
    <mergeCell ref="C20:E20"/>
    <mergeCell ref="C21:E21"/>
    <mergeCell ref="A41:H41"/>
    <mergeCell ref="C22:E22"/>
    <mergeCell ref="C23:E23"/>
    <mergeCell ref="C24:E24"/>
    <mergeCell ref="A27:I27"/>
    <mergeCell ref="A36:H36"/>
    <mergeCell ref="A37:H37"/>
  </mergeCells>
  <conditionalFormatting sqref="J10:J11 J13 H13">
    <cfRule type="expression" priority="40" dxfId="101">
      <formula>ABS(H10-O10)/O10&gt;'ADM LOCAL'!#REF!</formula>
    </cfRule>
  </conditionalFormatting>
  <conditionalFormatting sqref="F10:F14">
    <cfRule type="expression" priority="39" dxfId="101">
      <formula>ABS(F10-Q10)/Q10&gt;'ADM LOCAL'!#REF!</formula>
    </cfRule>
  </conditionalFormatting>
  <conditionalFormatting sqref="N17 N10:N13">
    <cfRule type="expression" priority="38" dxfId="101">
      <formula>ABS(N10-'ADM LOCAL'!#REF!)/'ADM LOCAL'!#REF!&gt;'ADM LOCAL'!#REF!</formula>
    </cfRule>
  </conditionalFormatting>
  <conditionalFormatting sqref="F17">
    <cfRule type="expression" priority="36" dxfId="101">
      <formula>ABS(F17-Q17)/Q17&gt;'ADM LOCAL'!#REF!</formula>
    </cfRule>
  </conditionalFormatting>
  <conditionalFormatting sqref="J17">
    <cfRule type="expression" priority="37" dxfId="101">
      <formula>ABS(J17-Q17)/Q17&gt;'ADM LOCAL'!#REF!</formula>
    </cfRule>
  </conditionalFormatting>
  <conditionalFormatting sqref="J15">
    <cfRule type="expression" priority="34" dxfId="101">
      <formula>ABS(J15-Q15)/Q15&gt;'ADM LOCAL'!#REF!</formula>
    </cfRule>
  </conditionalFormatting>
  <conditionalFormatting sqref="N15 J10:J11 J13">
    <cfRule type="expression" priority="35" dxfId="101">
      <formula>ABS(J10-'ADM LOCAL'!#REF!)/'ADM LOCAL'!#REF!&gt;'ADM LOCAL'!#REF!</formula>
    </cfRule>
  </conditionalFormatting>
  <conditionalFormatting sqref="J14">
    <cfRule type="expression" priority="33" dxfId="101">
      <formula>ABS(J14-Q14)/Q14&gt;'ADM LOCAL'!#REF!</formula>
    </cfRule>
  </conditionalFormatting>
  <conditionalFormatting sqref="N14">
    <cfRule type="expression" priority="32" dxfId="101">
      <formula>ABS(N14-Q14)/Q14&gt;'ADM LOCAL'!#REF!</formula>
    </cfRule>
  </conditionalFormatting>
  <conditionalFormatting sqref="N16">
    <cfRule type="expression" priority="31" dxfId="101">
      <formula>ABS(N16-'ADM LOCAL'!#REF!)/'ADM LOCAL'!#REF!&gt;'ADM LOCAL'!#REF!</formula>
    </cfRule>
  </conditionalFormatting>
  <conditionalFormatting sqref="J16">
    <cfRule type="expression" priority="30" dxfId="101">
      <formula>ABS(J16-Q16)/Q16&gt;'ADM LOCAL'!#REF!</formula>
    </cfRule>
  </conditionalFormatting>
  <conditionalFormatting sqref="J16">
    <cfRule type="expression" priority="29" dxfId="101">
      <formula>ABS(J16-'ADM LOCAL'!#REF!)/'ADM LOCAL'!#REF!&gt;'ADM LOCAL'!#REF!</formula>
    </cfRule>
  </conditionalFormatting>
  <conditionalFormatting sqref="F18">
    <cfRule type="expression" priority="26" dxfId="101">
      <formula>ABS(F18-Q18)/Q18&gt;'ADM LOCAL'!#REF!</formula>
    </cfRule>
  </conditionalFormatting>
  <conditionalFormatting sqref="J18">
    <cfRule type="expression" priority="27" dxfId="101">
      <formula>ABS(J18-Q18)/Q18&gt;'ADM LOCAL'!#REF!</formula>
    </cfRule>
  </conditionalFormatting>
  <conditionalFormatting sqref="N18">
    <cfRule type="expression" priority="28" dxfId="101">
      <formula>ABS(N18-'ADM LOCAL'!#REF!)/'ADM LOCAL'!#REF!&gt;'ADM LOCAL'!#REF!</formula>
    </cfRule>
  </conditionalFormatting>
  <conditionalFormatting sqref="N18">
    <cfRule type="expression" priority="25" dxfId="101">
      <formula>ABS(N18-'ADM LOCAL'!#REF!)/'ADM LOCAL'!#REF!&gt;'ADM LOCAL'!#REF!</formula>
    </cfRule>
  </conditionalFormatting>
  <conditionalFormatting sqref="F18">
    <cfRule type="expression" priority="24" dxfId="101">
      <formula>ABS(F18-Q18)/Q18&gt;'ADM LOCAL'!#REF!</formula>
    </cfRule>
  </conditionalFormatting>
  <conditionalFormatting sqref="J18">
    <cfRule type="expression" priority="23" dxfId="101">
      <formula>ABS(J18-Q18)/Q18&gt;'ADM LOCAL'!#REF!</formula>
    </cfRule>
  </conditionalFormatting>
  <conditionalFormatting sqref="F19">
    <cfRule type="expression" priority="21" dxfId="101">
      <formula>ABS(F19-Q19)/Q19&gt;'ADM LOCAL'!#REF!</formula>
    </cfRule>
  </conditionalFormatting>
  <conditionalFormatting sqref="N19">
    <cfRule type="expression" priority="22" dxfId="101">
      <formula>ABS(N19-'ADM LOCAL'!#REF!)/'ADM LOCAL'!#REF!&gt;'ADM LOCAL'!#REF!</formula>
    </cfRule>
  </conditionalFormatting>
  <conditionalFormatting sqref="N19">
    <cfRule type="expression" priority="20" dxfId="101">
      <formula>ABS(N19-'ADM LOCAL'!#REF!)/'ADM LOCAL'!#REF!&gt;'ADM LOCAL'!#REF!</formula>
    </cfRule>
  </conditionalFormatting>
  <conditionalFormatting sqref="F19">
    <cfRule type="expression" priority="19" dxfId="101">
      <formula>ABS(F19-Q19)/Q19&gt;'ADM LOCAL'!#REF!</formula>
    </cfRule>
  </conditionalFormatting>
  <conditionalFormatting sqref="N10:N13">
    <cfRule type="expression" priority="18" dxfId="101">
      <formula>ABS(N10-'ADM LOCAL'!#REF!)/'ADM LOCAL'!#REF!&gt;'ADM LOCAL'!#REF!</formula>
    </cfRule>
  </conditionalFormatting>
  <conditionalFormatting sqref="F20">
    <cfRule type="expression" priority="16" dxfId="101">
      <formula>ABS(F20-Q20)/Q20&gt;'ADM LOCAL'!#REF!</formula>
    </cfRule>
  </conditionalFormatting>
  <conditionalFormatting sqref="N20">
    <cfRule type="expression" priority="15" dxfId="101">
      <formula>ABS(N20-Q20)/Q20&gt;'ADM LOCAL'!#REF!</formula>
    </cfRule>
  </conditionalFormatting>
  <conditionalFormatting sqref="F21">
    <cfRule type="expression" priority="14" dxfId="101">
      <formula>ABS(F21-Q21)/Q21&gt;'ADM LOCAL'!#REF!</formula>
    </cfRule>
  </conditionalFormatting>
  <conditionalFormatting sqref="J12">
    <cfRule type="expression" priority="13" dxfId="101">
      <formula>ABS(J12-Q12)/Q12&gt;'ADM LOCAL'!#REF!</formula>
    </cfRule>
  </conditionalFormatting>
  <conditionalFormatting sqref="J12">
    <cfRule type="expression" priority="12" dxfId="101">
      <formula>ABS(J12-'ADM LOCAL'!#REF!)/'ADM LOCAL'!#REF!&gt;'ADM LOCAL'!#REF!</formula>
    </cfRule>
  </conditionalFormatting>
  <conditionalFormatting sqref="N21">
    <cfRule type="expression" priority="9" dxfId="101">
      <formula>ABS(N21-'ADM LOCAL'!#REF!)/'ADM LOCAL'!#REF!&gt;'ADM LOCAL'!#REF!</formula>
    </cfRule>
  </conditionalFormatting>
  <conditionalFormatting sqref="N21">
    <cfRule type="expression" priority="8" dxfId="101">
      <formula>ABS(N21-'ADM LOCAL'!#REF!)/'ADM LOCAL'!#REF!&gt;'ADM LOCAL'!#REF!</formula>
    </cfRule>
  </conditionalFormatting>
  <conditionalFormatting sqref="N22">
    <cfRule type="expression" priority="7" dxfId="101">
      <formula>ABS(N22-Q22)/Q22&gt;'ADM LOCAL'!#REF!</formula>
    </cfRule>
  </conditionalFormatting>
  <conditionalFormatting sqref="H13">
    <cfRule type="expression" priority="5" dxfId="101">
      <formula>ABS(H13-'ADM LOCAL'!#REF!)/'ADM LOCAL'!#REF!&gt;'ADM LOCAL'!#REF!</formula>
    </cfRule>
  </conditionalFormatting>
  <conditionalFormatting sqref="H14">
    <cfRule type="expression" priority="2" dxfId="101">
      <formula>ABS(H14-O14)/O14&gt;'ADM LOCAL'!#REF!</formula>
    </cfRule>
  </conditionalFormatting>
  <conditionalFormatting sqref="H14">
    <cfRule type="expression" priority="1" dxfId="101">
      <formula>ABS(H14-'ADM LOCAL'!#REF!)/'ADM LOCAL'!#REF!&gt;'ADM LOCAL'!#REF!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8" r:id="rId3"/>
  <headerFooter>
    <oddFooter>&amp;L&amp;G&amp;CAvenida Getúlio Vargas, 1.710 – 7° andar - Funcionários – Belo Horizonte - MG. CEP:30112-021&amp;R&amp;P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I43" sqref="I43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2.375" style="0" customWidth="1"/>
    <col min="9" max="9" width="13.125" style="0" bestFit="1" customWidth="1"/>
  </cols>
  <sheetData>
    <row r="1" spans="1:9" ht="15.75">
      <c r="A1" s="666" t="s">
        <v>204</v>
      </c>
      <c r="B1" s="667"/>
      <c r="C1" s="667"/>
      <c r="D1" s="667"/>
      <c r="E1" s="667"/>
      <c r="F1" s="667"/>
      <c r="G1" s="667"/>
      <c r="H1" s="667"/>
      <c r="I1" s="185"/>
    </row>
    <row r="2" spans="1:9" ht="15.75">
      <c r="A2" s="668"/>
      <c r="B2" s="669"/>
      <c r="C2" s="669"/>
      <c r="D2" s="669"/>
      <c r="E2" s="669"/>
      <c r="F2" s="669"/>
      <c r="G2" s="669"/>
      <c r="H2" s="669"/>
      <c r="I2" s="186"/>
    </row>
    <row r="3" spans="1:9" ht="15.75">
      <c r="A3" s="668"/>
      <c r="B3" s="669"/>
      <c r="C3" s="669"/>
      <c r="D3" s="669"/>
      <c r="E3" s="669"/>
      <c r="F3" s="669"/>
      <c r="G3" s="669"/>
      <c r="H3" s="669"/>
      <c r="I3" s="186"/>
    </row>
    <row r="4" spans="1:9" ht="15.75" customHeight="1">
      <c r="A4" s="187"/>
      <c r="B4" s="188"/>
      <c r="C4" s="670" t="s">
        <v>452</v>
      </c>
      <c r="D4" s="670"/>
      <c r="E4" s="670"/>
      <c r="F4" s="671"/>
      <c r="G4" s="189" t="s">
        <v>330</v>
      </c>
      <c r="H4" s="189" t="s">
        <v>331</v>
      </c>
      <c r="I4" s="653" t="s">
        <v>332</v>
      </c>
    </row>
    <row r="5" spans="1:9" ht="15.75">
      <c r="A5" s="187"/>
      <c r="B5" s="190"/>
      <c r="C5" s="672" t="s">
        <v>356</v>
      </c>
      <c r="D5" s="672"/>
      <c r="E5" s="672"/>
      <c r="F5" s="673"/>
      <c r="G5" s="191">
        <v>1.2833</v>
      </c>
      <c r="H5" s="192">
        <v>0.309</v>
      </c>
      <c r="I5" s="653"/>
    </row>
    <row r="6" spans="1:9" ht="15">
      <c r="A6" s="674" t="s">
        <v>333</v>
      </c>
      <c r="B6" s="675"/>
      <c r="C6" s="675"/>
      <c r="D6" s="675"/>
      <c r="E6" s="675"/>
      <c r="F6" s="675"/>
      <c r="G6" s="675"/>
      <c r="H6" s="675"/>
      <c r="I6" s="193">
        <v>43344</v>
      </c>
    </row>
    <row r="7" spans="1:9" ht="15">
      <c r="A7" s="674"/>
      <c r="B7" s="675"/>
      <c r="C7" s="675"/>
      <c r="D7" s="675"/>
      <c r="E7" s="675"/>
      <c r="F7" s="675"/>
      <c r="G7" s="675"/>
      <c r="H7" s="675"/>
      <c r="I7" s="194" t="s">
        <v>540</v>
      </c>
    </row>
    <row r="8" spans="1:9" ht="15" customHeight="1">
      <c r="A8" s="195" t="s">
        <v>334</v>
      </c>
      <c r="B8" s="410" t="s">
        <v>626</v>
      </c>
      <c r="C8" s="138"/>
      <c r="D8" s="138"/>
      <c r="E8" s="138"/>
      <c r="F8" s="138"/>
      <c r="G8" s="138"/>
      <c r="H8" s="138"/>
      <c r="I8" s="411"/>
    </row>
    <row r="9" spans="1:12" ht="15">
      <c r="A9" s="196" t="s">
        <v>335</v>
      </c>
      <c r="B9" s="402" t="s">
        <v>627</v>
      </c>
      <c r="C9" s="402"/>
      <c r="D9" s="402"/>
      <c r="E9" s="402"/>
      <c r="F9" s="402"/>
      <c r="G9" s="402"/>
      <c r="H9" s="402"/>
      <c r="I9" s="412"/>
      <c r="L9" s="138"/>
    </row>
    <row r="10" spans="1:12" ht="15">
      <c r="A10" s="197"/>
      <c r="B10" s="198"/>
      <c r="C10" s="199"/>
      <c r="D10" s="199"/>
      <c r="E10" s="199"/>
      <c r="F10" s="198"/>
      <c r="G10" s="200"/>
      <c r="H10" s="201"/>
      <c r="I10" s="202"/>
      <c r="L10" s="402"/>
    </row>
    <row r="11" spans="1:9" ht="15">
      <c r="A11" s="645" t="s">
        <v>336</v>
      </c>
      <c r="B11" s="646"/>
      <c r="C11" s="646"/>
      <c r="D11" s="646"/>
      <c r="E11" s="646"/>
      <c r="F11" s="646"/>
      <c r="G11" s="646"/>
      <c r="H11" s="646"/>
      <c r="I11" s="647"/>
    </row>
    <row r="12" spans="1:9" ht="15">
      <c r="A12" s="203" t="s">
        <v>337</v>
      </c>
      <c r="B12" s="204" t="s">
        <v>338</v>
      </c>
      <c r="C12" s="663" t="s">
        <v>326</v>
      </c>
      <c r="D12" s="664"/>
      <c r="E12" s="665"/>
      <c r="F12" s="204" t="s">
        <v>215</v>
      </c>
      <c r="G12" s="204" t="s">
        <v>339</v>
      </c>
      <c r="H12" s="204" t="s">
        <v>340</v>
      </c>
      <c r="I12" s="205" t="s">
        <v>341</v>
      </c>
    </row>
    <row r="13" spans="1:9" ht="14.25">
      <c r="A13" s="403">
        <v>10146</v>
      </c>
      <c r="B13" s="35" t="s">
        <v>83</v>
      </c>
      <c r="C13" s="686" t="s">
        <v>596</v>
      </c>
      <c r="D13" s="627"/>
      <c r="E13" s="628"/>
      <c r="F13" s="241" t="s">
        <v>343</v>
      </c>
      <c r="G13" s="212">
        <v>2</v>
      </c>
      <c r="H13" s="210">
        <v>4.72</v>
      </c>
      <c r="I13" s="211">
        <f>G13*H13</f>
        <v>9.44</v>
      </c>
    </row>
    <row r="14" spans="1:9" ht="14.25">
      <c r="A14" s="213"/>
      <c r="B14" s="207"/>
      <c r="C14" s="626"/>
      <c r="D14" s="627"/>
      <c r="E14" s="628"/>
      <c r="F14" s="208"/>
      <c r="G14" s="242"/>
      <c r="H14" s="210"/>
      <c r="I14" s="211"/>
    </row>
    <row r="15" spans="1:9" ht="24" customHeight="1">
      <c r="A15" s="214"/>
      <c r="B15" s="215"/>
      <c r="C15" s="683"/>
      <c r="D15" s="684"/>
      <c r="E15" s="685"/>
      <c r="F15" s="215"/>
      <c r="G15" s="215"/>
      <c r="H15" s="215"/>
      <c r="I15" s="216"/>
    </row>
    <row r="16" spans="1:9" ht="15">
      <c r="A16" s="213"/>
      <c r="B16" s="207"/>
      <c r="C16" s="683"/>
      <c r="D16" s="684"/>
      <c r="E16" s="685"/>
      <c r="F16" s="208"/>
      <c r="G16" s="208"/>
      <c r="H16" s="208"/>
      <c r="I16" s="211"/>
    </row>
    <row r="17" spans="1:12" ht="14.25">
      <c r="A17" s="660" t="s">
        <v>345</v>
      </c>
      <c r="B17" s="661"/>
      <c r="C17" s="661"/>
      <c r="D17" s="661"/>
      <c r="E17" s="661"/>
      <c r="F17" s="661"/>
      <c r="G17" s="661"/>
      <c r="H17" s="662"/>
      <c r="I17" s="217">
        <f>SUM(I13:I14)</f>
        <v>9.44</v>
      </c>
      <c r="L17" s="243"/>
    </row>
    <row r="18" spans="1:9" ht="14.25">
      <c r="A18" s="657"/>
      <c r="B18" s="658"/>
      <c r="C18" s="658"/>
      <c r="D18" s="658"/>
      <c r="E18" s="658"/>
      <c r="F18" s="658"/>
      <c r="G18" s="658"/>
      <c r="H18" s="658"/>
      <c r="I18" s="659"/>
    </row>
    <row r="19" spans="1:11" ht="15">
      <c r="A19" s="645" t="s">
        <v>346</v>
      </c>
      <c r="B19" s="646"/>
      <c r="C19" s="646"/>
      <c r="D19" s="646"/>
      <c r="E19" s="646"/>
      <c r="F19" s="646"/>
      <c r="G19" s="646"/>
      <c r="H19" s="646"/>
      <c r="I19" s="647"/>
      <c r="K19" s="394"/>
    </row>
    <row r="20" spans="1:9" ht="15">
      <c r="A20" s="203" t="s">
        <v>337</v>
      </c>
      <c r="B20" s="204" t="s">
        <v>338</v>
      </c>
      <c r="C20" s="663" t="s">
        <v>326</v>
      </c>
      <c r="D20" s="664"/>
      <c r="E20" s="665"/>
      <c r="F20" s="204" t="s">
        <v>215</v>
      </c>
      <c r="G20" s="204" t="s">
        <v>339</v>
      </c>
      <c r="H20" s="204" t="s">
        <v>340</v>
      </c>
      <c r="I20" s="205" t="s">
        <v>341</v>
      </c>
    </row>
    <row r="21" spans="1:9" ht="27" customHeight="1">
      <c r="A21" s="403">
        <v>40233</v>
      </c>
      <c r="B21" s="234" t="s">
        <v>83</v>
      </c>
      <c r="C21" s="626" t="s">
        <v>628</v>
      </c>
      <c r="D21" s="627"/>
      <c r="E21" s="628"/>
      <c r="F21" s="35" t="s">
        <v>221</v>
      </c>
      <c r="G21" s="209">
        <v>0.07</v>
      </c>
      <c r="H21" s="218">
        <v>394.42</v>
      </c>
      <c r="I21" s="219">
        <f>H21*G21</f>
        <v>27.61</v>
      </c>
    </row>
    <row r="22" spans="1:9" ht="26.25" customHeight="1">
      <c r="A22" s="220"/>
      <c r="B22" s="35"/>
      <c r="C22" s="629"/>
      <c r="D22" s="630"/>
      <c r="E22" s="631"/>
      <c r="F22" s="35"/>
      <c r="G22" s="212"/>
      <c r="H22" s="218"/>
      <c r="I22" s="219"/>
    </row>
    <row r="23" spans="1:12" ht="31.5" customHeight="1">
      <c r="A23" s="206"/>
      <c r="B23" s="207"/>
      <c r="C23" s="629"/>
      <c r="D23" s="632"/>
      <c r="E23" s="633"/>
      <c r="F23" s="207"/>
      <c r="G23" s="212"/>
      <c r="H23" s="218"/>
      <c r="I23" s="221"/>
      <c r="L23" s="38"/>
    </row>
    <row r="24" spans="1:9" ht="31.5" customHeight="1">
      <c r="A24" s="206"/>
      <c r="B24" s="207"/>
      <c r="C24" s="636"/>
      <c r="D24" s="637"/>
      <c r="E24" s="638"/>
      <c r="F24" s="207"/>
      <c r="G24" s="222"/>
      <c r="H24" s="218"/>
      <c r="I24" s="221"/>
    </row>
    <row r="25" spans="1:9" ht="36.75" customHeight="1">
      <c r="A25" s="235"/>
      <c r="B25" s="236"/>
      <c r="C25" s="639"/>
      <c r="D25" s="640"/>
      <c r="E25" s="641"/>
      <c r="F25" s="237"/>
      <c r="G25" s="238"/>
      <c r="H25" s="239"/>
      <c r="I25" s="240"/>
    </row>
    <row r="26" spans="1:9" ht="33" customHeight="1">
      <c r="A26" s="223"/>
      <c r="B26" s="224"/>
      <c r="C26" s="642"/>
      <c r="D26" s="643"/>
      <c r="E26" s="644"/>
      <c r="F26" s="225"/>
      <c r="G26" s="226"/>
      <c r="H26" s="227"/>
      <c r="I26" s="228"/>
    </row>
    <row r="27" spans="1:9" ht="14.25">
      <c r="A27" s="660" t="s">
        <v>347</v>
      </c>
      <c r="B27" s="661"/>
      <c r="C27" s="661"/>
      <c r="D27" s="661"/>
      <c r="E27" s="661"/>
      <c r="F27" s="661"/>
      <c r="G27" s="661"/>
      <c r="H27" s="662"/>
      <c r="I27" s="217">
        <f>SUM(I21:I26)</f>
        <v>27.61</v>
      </c>
    </row>
    <row r="28" spans="1:9" ht="14.25">
      <c r="A28" s="657"/>
      <c r="B28" s="658"/>
      <c r="C28" s="658"/>
      <c r="D28" s="658"/>
      <c r="E28" s="658"/>
      <c r="F28" s="658"/>
      <c r="G28" s="658"/>
      <c r="H28" s="658"/>
      <c r="I28" s="659"/>
    </row>
    <row r="29" spans="1:9" ht="15">
      <c r="A29" s="645" t="s">
        <v>348</v>
      </c>
      <c r="B29" s="646"/>
      <c r="C29" s="646"/>
      <c r="D29" s="646"/>
      <c r="E29" s="646"/>
      <c r="F29" s="646"/>
      <c r="G29" s="646"/>
      <c r="H29" s="646"/>
      <c r="I29" s="647"/>
    </row>
    <row r="30" spans="1:9" ht="15">
      <c r="A30" s="229" t="s">
        <v>337</v>
      </c>
      <c r="B30" s="230" t="s">
        <v>338</v>
      </c>
      <c r="C30" s="678" t="s">
        <v>326</v>
      </c>
      <c r="D30" s="679"/>
      <c r="E30" s="680"/>
      <c r="F30" s="230" t="s">
        <v>215</v>
      </c>
      <c r="G30" s="230" t="s">
        <v>339</v>
      </c>
      <c r="H30" s="230" t="s">
        <v>340</v>
      </c>
      <c r="I30" s="231" t="s">
        <v>341</v>
      </c>
    </row>
    <row r="31" spans="1:9" ht="14.25">
      <c r="A31" s="206"/>
      <c r="B31" s="207"/>
      <c r="C31" s="636"/>
      <c r="D31" s="681"/>
      <c r="E31" s="682"/>
      <c r="F31" s="207"/>
      <c r="G31" s="207"/>
      <c r="H31" s="218"/>
      <c r="I31" s="221"/>
    </row>
    <row r="32" spans="1:9" ht="14.25">
      <c r="A32" s="214"/>
      <c r="B32" s="215"/>
      <c r="C32" s="636"/>
      <c r="D32" s="637"/>
      <c r="E32" s="638"/>
      <c r="F32" s="215"/>
      <c r="G32" s="215"/>
      <c r="H32" s="215"/>
      <c r="I32" s="216"/>
    </row>
    <row r="33" spans="1:9" ht="15">
      <c r="A33" s="214"/>
      <c r="B33" s="215"/>
      <c r="C33" s="683"/>
      <c r="D33" s="684"/>
      <c r="E33" s="685"/>
      <c r="F33" s="215"/>
      <c r="G33" s="215"/>
      <c r="H33" s="215"/>
      <c r="I33" s="216"/>
    </row>
    <row r="34" spans="1:9" ht="14.25">
      <c r="A34" s="660" t="s">
        <v>349</v>
      </c>
      <c r="B34" s="661"/>
      <c r="C34" s="661"/>
      <c r="D34" s="661"/>
      <c r="E34" s="661"/>
      <c r="F34" s="661"/>
      <c r="G34" s="661"/>
      <c r="H34" s="662"/>
      <c r="I34" s="217"/>
    </row>
    <row r="35" spans="1:9" ht="14.25">
      <c r="A35" s="657"/>
      <c r="B35" s="658"/>
      <c r="C35" s="658"/>
      <c r="D35" s="658"/>
      <c r="E35" s="658"/>
      <c r="F35" s="658"/>
      <c r="G35" s="658"/>
      <c r="H35" s="658"/>
      <c r="I35" s="659"/>
    </row>
    <row r="36" spans="1:9" ht="15">
      <c r="A36" s="645" t="s">
        <v>350</v>
      </c>
      <c r="B36" s="646"/>
      <c r="C36" s="646"/>
      <c r="D36" s="646"/>
      <c r="E36" s="646"/>
      <c r="F36" s="646"/>
      <c r="G36" s="646"/>
      <c r="H36" s="646"/>
      <c r="I36" s="647"/>
    </row>
    <row r="37" spans="1:9" ht="15">
      <c r="A37" s="648" t="s">
        <v>351</v>
      </c>
      <c r="B37" s="649"/>
      <c r="C37" s="649"/>
      <c r="D37" s="649"/>
      <c r="E37" s="649"/>
      <c r="F37" s="649"/>
      <c r="G37" s="649"/>
      <c r="H37" s="650"/>
      <c r="I37" s="217">
        <f>I17</f>
        <v>9.44</v>
      </c>
    </row>
    <row r="38" spans="1:9" ht="15">
      <c r="A38" s="648" t="s">
        <v>352</v>
      </c>
      <c r="B38" s="649"/>
      <c r="C38" s="649"/>
      <c r="D38" s="649"/>
      <c r="E38" s="649"/>
      <c r="F38" s="649"/>
      <c r="G38" s="649"/>
      <c r="H38" s="650"/>
      <c r="I38" s="217">
        <f>I27</f>
        <v>27.61</v>
      </c>
    </row>
    <row r="39" spans="1:9" ht="15">
      <c r="A39" s="648" t="s">
        <v>349</v>
      </c>
      <c r="B39" s="649"/>
      <c r="C39" s="649"/>
      <c r="D39" s="649"/>
      <c r="E39" s="649"/>
      <c r="F39" s="649"/>
      <c r="G39" s="649"/>
      <c r="H39" s="650"/>
      <c r="I39" s="217">
        <f>I34</f>
        <v>0</v>
      </c>
    </row>
    <row r="40" spans="1:9" ht="15">
      <c r="A40" s="648" t="s">
        <v>353</v>
      </c>
      <c r="B40" s="649"/>
      <c r="C40" s="649"/>
      <c r="D40" s="649"/>
      <c r="E40" s="649"/>
      <c r="F40" s="649"/>
      <c r="G40" s="649"/>
      <c r="H40" s="650"/>
      <c r="I40" s="217">
        <f>I37*1.2833</f>
        <v>12.11</v>
      </c>
    </row>
    <row r="41" spans="1:9" ht="15">
      <c r="A41" s="648" t="s">
        <v>354</v>
      </c>
      <c r="B41" s="649"/>
      <c r="C41" s="649"/>
      <c r="D41" s="649"/>
      <c r="E41" s="649"/>
      <c r="F41" s="649"/>
      <c r="G41" s="649"/>
      <c r="H41" s="650"/>
      <c r="I41" s="217">
        <f>I37+I38+I40</f>
        <v>49.16</v>
      </c>
    </row>
    <row r="42" spans="1:9" ht="15">
      <c r="A42" s="648" t="s">
        <v>357</v>
      </c>
      <c r="B42" s="649"/>
      <c r="C42" s="649"/>
      <c r="D42" s="649"/>
      <c r="E42" s="649"/>
      <c r="F42" s="649"/>
      <c r="G42" s="649"/>
      <c r="H42" s="650"/>
      <c r="I42" s="217">
        <f>I41*30.9%</f>
        <v>15.19</v>
      </c>
    </row>
    <row r="43" spans="1:9" ht="15">
      <c r="A43" s="634" t="s">
        <v>355</v>
      </c>
      <c r="B43" s="635"/>
      <c r="C43" s="635"/>
      <c r="D43" s="635"/>
      <c r="E43" s="635"/>
      <c r="F43" s="635"/>
      <c r="G43" s="635"/>
      <c r="H43" s="635"/>
      <c r="I43" s="232">
        <f>I41+I42</f>
        <v>64.35</v>
      </c>
    </row>
    <row r="44" spans="1:9" ht="15" thickBot="1">
      <c r="A44" s="654"/>
      <c r="B44" s="655"/>
      <c r="C44" s="655"/>
      <c r="D44" s="655"/>
      <c r="E44" s="655"/>
      <c r="F44" s="655"/>
      <c r="G44" s="655"/>
      <c r="H44" s="655"/>
      <c r="I44" s="656"/>
    </row>
  </sheetData>
  <sheetProtection/>
  <mergeCells count="39">
    <mergeCell ref="A38:H38"/>
    <mergeCell ref="C33:E33"/>
    <mergeCell ref="A40:H40"/>
    <mergeCell ref="A41:H41"/>
    <mergeCell ref="A42:H42"/>
    <mergeCell ref="A43:H43"/>
    <mergeCell ref="A44:I44"/>
    <mergeCell ref="A34:H34"/>
    <mergeCell ref="A35:I35"/>
    <mergeCell ref="A36:I36"/>
    <mergeCell ref="A37:H37"/>
    <mergeCell ref="C24:E24"/>
    <mergeCell ref="C25:E25"/>
    <mergeCell ref="C26:E26"/>
    <mergeCell ref="A27:H27"/>
    <mergeCell ref="A39:H39"/>
    <mergeCell ref="A28:I28"/>
    <mergeCell ref="A29:I29"/>
    <mergeCell ref="C30:E30"/>
    <mergeCell ref="C31:E31"/>
    <mergeCell ref="C32:E32"/>
    <mergeCell ref="A18:I18"/>
    <mergeCell ref="A19:I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A17:H17"/>
    <mergeCell ref="A1:H3"/>
    <mergeCell ref="C4:F4"/>
    <mergeCell ref="I4:I5"/>
    <mergeCell ref="C5:F5"/>
    <mergeCell ref="A6:H7"/>
    <mergeCell ref="A11:I11"/>
  </mergeCells>
  <conditionalFormatting sqref="J10:J11 J13 J15">
    <cfRule type="expression" priority="38" dxfId="101">
      <formula>ABS(J10-Q10)/Q10&gt;'EST-01'!#REF!</formula>
    </cfRule>
  </conditionalFormatting>
  <conditionalFormatting sqref="F10:F16">
    <cfRule type="expression" priority="37" dxfId="101">
      <formula>ABS(F10-Q10)/Q10&gt;'EST-01'!#REF!</formula>
    </cfRule>
  </conditionalFormatting>
  <conditionalFormatting sqref="N19">
    <cfRule type="expression" priority="36" dxfId="101">
      <formula>ABS(N19-'EST-01'!#REF!)/'EST-01'!#REF!&gt;'EST-01'!#REF!</formula>
    </cfRule>
  </conditionalFormatting>
  <conditionalFormatting sqref="F19">
    <cfRule type="expression" priority="34" dxfId="101">
      <formula>ABS(F19-Q19)/Q19&gt;'EST-01'!#REF!</formula>
    </cfRule>
  </conditionalFormatting>
  <conditionalFormatting sqref="J19">
    <cfRule type="expression" priority="35" dxfId="101">
      <formula>ABS(J19-Q19)/Q19&gt;'EST-01'!#REF!</formula>
    </cfRule>
  </conditionalFormatting>
  <conditionalFormatting sqref="J17">
    <cfRule type="expression" priority="32" dxfId="101">
      <formula>ABS(J17-Q17)/Q17&gt;'EST-01'!#REF!</formula>
    </cfRule>
  </conditionalFormatting>
  <conditionalFormatting sqref="N17 J10:J11 N10:N15 J13 J15">
    <cfRule type="expression" priority="33" dxfId="101">
      <formula>ABS(J10-'EST-01'!#REF!)/'EST-01'!#REF!&gt;'EST-01'!#REF!</formula>
    </cfRule>
  </conditionalFormatting>
  <conditionalFormatting sqref="J16">
    <cfRule type="expression" priority="31" dxfId="101">
      <formula>ABS(J16-Q16)/Q16&gt;'EST-01'!#REF!</formula>
    </cfRule>
  </conditionalFormatting>
  <conditionalFormatting sqref="N16">
    <cfRule type="expression" priority="30" dxfId="101">
      <formula>ABS(N16-Q16)/Q16&gt;'EST-01'!#REF!</formula>
    </cfRule>
  </conditionalFormatting>
  <conditionalFormatting sqref="N18">
    <cfRule type="expression" priority="29" dxfId="101">
      <formula>ABS(N18-'EST-01'!#REF!)/'EST-01'!#REF!&gt;'EST-01'!#REF!</formula>
    </cfRule>
  </conditionalFormatting>
  <conditionalFormatting sqref="J18">
    <cfRule type="expression" priority="28" dxfId="101">
      <formula>ABS(J18-Q18)/Q18&gt;'EST-01'!#REF!</formula>
    </cfRule>
  </conditionalFormatting>
  <conditionalFormatting sqref="J18">
    <cfRule type="expression" priority="27" dxfId="101">
      <formula>ABS(J18-'EST-01'!#REF!)/'EST-01'!#REF!&gt;'EST-01'!#REF!</formula>
    </cfRule>
  </conditionalFormatting>
  <conditionalFormatting sqref="F20">
    <cfRule type="expression" priority="24" dxfId="101">
      <formula>ABS(F20-Q20)/Q20&gt;'EST-01'!#REF!</formula>
    </cfRule>
  </conditionalFormatting>
  <conditionalFormatting sqref="J20">
    <cfRule type="expression" priority="25" dxfId="101">
      <formula>ABS(J20-Q20)/Q20&gt;'EST-01'!#REF!</formula>
    </cfRule>
  </conditionalFormatting>
  <conditionalFormatting sqref="N20">
    <cfRule type="expression" priority="26" dxfId="101">
      <formula>ABS(N20-'EST-01'!#REF!)/'EST-01'!#REF!&gt;'EST-01'!#REF!</formula>
    </cfRule>
  </conditionalFormatting>
  <conditionalFormatting sqref="N20">
    <cfRule type="expression" priority="23" dxfId="101">
      <formula>ABS(N20-'EST-01'!#REF!)/'EST-01'!#REF!&gt;'EST-01'!#REF!</formula>
    </cfRule>
  </conditionalFormatting>
  <conditionalFormatting sqref="F20">
    <cfRule type="expression" priority="22" dxfId="101">
      <formula>ABS(F20-Q20)/Q20&gt;'EST-01'!#REF!</formula>
    </cfRule>
  </conditionalFormatting>
  <conditionalFormatting sqref="J20">
    <cfRule type="expression" priority="21" dxfId="101">
      <formula>ABS(J20-Q20)/Q20&gt;'EST-01'!#REF!</formula>
    </cfRule>
  </conditionalFormatting>
  <conditionalFormatting sqref="F21">
    <cfRule type="expression" priority="19" dxfId="101">
      <formula>ABS(F21-Q21)/Q21&gt;'EST-01'!#REF!</formula>
    </cfRule>
  </conditionalFormatting>
  <conditionalFormatting sqref="N21">
    <cfRule type="expression" priority="20" dxfId="101">
      <formula>ABS(N21-'EST-01'!#REF!)/'EST-01'!#REF!&gt;'EST-01'!#REF!</formula>
    </cfRule>
  </conditionalFormatting>
  <conditionalFormatting sqref="N21">
    <cfRule type="expression" priority="18" dxfId="101">
      <formula>ABS(N21-'EST-01'!#REF!)/'EST-01'!#REF!&gt;'EST-01'!#REF!</formula>
    </cfRule>
  </conditionalFormatting>
  <conditionalFormatting sqref="F21">
    <cfRule type="expression" priority="17" dxfId="101">
      <formula>ABS(F21-Q21)/Q21&gt;'EST-01'!#REF!</formula>
    </cfRule>
  </conditionalFormatting>
  <conditionalFormatting sqref="N10:N15">
    <cfRule type="expression" priority="16" dxfId="101">
      <formula>ABS(N10-'EST-01'!#REF!)/'EST-01'!#REF!&gt;'EST-01'!#REF!</formula>
    </cfRule>
  </conditionalFormatting>
  <conditionalFormatting sqref="N10:N15">
    <cfRule type="expression" priority="15" dxfId="101">
      <formula>ABS(N10-'EST-01'!#REF!)/'EST-01'!#REF!&gt;'EST-01'!#REF!</formula>
    </cfRule>
  </conditionalFormatting>
  <conditionalFormatting sqref="F22">
    <cfRule type="expression" priority="14" dxfId="101">
      <formula>ABS(F22-Q22)/Q22&gt;'EST-01'!#REF!</formula>
    </cfRule>
  </conditionalFormatting>
  <conditionalFormatting sqref="N22">
    <cfRule type="expression" priority="13" dxfId="101">
      <formula>ABS(N22-Q22)/Q22&gt;'EST-01'!#REF!</formula>
    </cfRule>
  </conditionalFormatting>
  <conditionalFormatting sqref="F23">
    <cfRule type="expression" priority="12" dxfId="101">
      <formula>ABS(F23-Q23)/Q23&gt;'EST-01'!#REF!</formula>
    </cfRule>
  </conditionalFormatting>
  <conditionalFormatting sqref="J12">
    <cfRule type="expression" priority="11" dxfId="101">
      <formula>ABS(J12-Q12)/Q12&gt;'EST-01'!#REF!</formula>
    </cfRule>
  </conditionalFormatting>
  <conditionalFormatting sqref="J12">
    <cfRule type="expression" priority="10" dxfId="101">
      <formula>ABS(J12-'EST-01'!#REF!)/'EST-01'!#REF!&gt;'EST-01'!#REF!</formula>
    </cfRule>
  </conditionalFormatting>
  <conditionalFormatting sqref="J14">
    <cfRule type="expression" priority="9" dxfId="101">
      <formula>ABS(J14-Q14)/Q14&gt;'EST-01'!#REF!</formula>
    </cfRule>
  </conditionalFormatting>
  <conditionalFormatting sqref="J14">
    <cfRule type="expression" priority="8" dxfId="101">
      <formula>ABS(J14-'EST-01'!#REF!)/'EST-01'!#REF!&gt;'EST-01'!#REF!</formula>
    </cfRule>
  </conditionalFormatting>
  <conditionalFormatting sqref="N23">
    <cfRule type="expression" priority="7" dxfId="101">
      <formula>ABS(N23-'EST-01'!#REF!)/'EST-01'!#REF!&gt;'EST-01'!#REF!</formula>
    </cfRule>
  </conditionalFormatting>
  <conditionalFormatting sqref="N23">
    <cfRule type="expression" priority="6" dxfId="101">
      <formula>ABS(N23-'EST-01'!#REF!)/'EST-01'!#REF!&gt;'EST-01'!#REF!</formula>
    </cfRule>
  </conditionalFormatting>
  <conditionalFormatting sqref="N24">
    <cfRule type="expression" priority="5" dxfId="101">
      <formula>ABS(N24-Q24)/Q24&gt;'EST-01'!#REF!</formula>
    </cfRule>
  </conditionalFormatting>
  <conditionalFormatting sqref="H13">
    <cfRule type="expression" priority="4" dxfId="101">
      <formula>ABS(H13-O13)/O13&gt;'EST-01'!#REF!</formula>
    </cfRule>
  </conditionalFormatting>
  <conditionalFormatting sqref="H13">
    <cfRule type="expression" priority="3" dxfId="101">
      <formula>ABS(H13-'EST-01'!#REF!)/'EST-01'!#REF!&gt;'EST-01'!#REF!</formula>
    </cfRule>
  </conditionalFormatting>
  <conditionalFormatting sqref="H14">
    <cfRule type="expression" priority="2" dxfId="101">
      <formula>ABS(H14-O14)/O14&gt;'EST-01'!#REF!</formula>
    </cfRule>
  </conditionalFormatting>
  <conditionalFormatting sqref="H14">
    <cfRule type="expression" priority="1" dxfId="101">
      <formula>ABS(H14-'EST-01'!#REF!)/'EST-01'!#REF!&gt;'EST-01'!#REF!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3"/>
  <headerFooter>
    <oddFooter>&amp;L&amp;G&amp;CAvenida Getúlio Vargas, 1.710 – 7° andar - Funcionários – Belo Horizonte - MG. CEP:30112-021&amp;R&amp;P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H27" sqref="H27"/>
    </sheetView>
  </sheetViews>
  <sheetFormatPr defaultColWidth="9.00390625" defaultRowHeight="14.25"/>
  <cols>
    <col min="1" max="1" width="8.625" style="0" customWidth="1"/>
    <col min="2" max="2" width="9.625" style="0" customWidth="1"/>
    <col min="5" max="5" width="38.50390625" style="0" customWidth="1"/>
    <col min="8" max="8" width="10.625" style="0" customWidth="1"/>
    <col min="9" max="9" width="11.00390625" style="0" customWidth="1"/>
  </cols>
  <sheetData>
    <row r="1" spans="1:9" ht="15.75">
      <c r="A1" s="666" t="s">
        <v>204</v>
      </c>
      <c r="B1" s="667"/>
      <c r="C1" s="667"/>
      <c r="D1" s="667"/>
      <c r="E1" s="667"/>
      <c r="F1" s="667"/>
      <c r="G1" s="667"/>
      <c r="H1" s="667"/>
      <c r="I1" s="185"/>
    </row>
    <row r="2" spans="1:9" ht="15.75">
      <c r="A2" s="668"/>
      <c r="B2" s="669"/>
      <c r="C2" s="669"/>
      <c r="D2" s="669"/>
      <c r="E2" s="669"/>
      <c r="F2" s="669"/>
      <c r="G2" s="669"/>
      <c r="H2" s="669"/>
      <c r="I2" s="186"/>
    </row>
    <row r="3" spans="1:9" ht="15.75">
      <c r="A3" s="668"/>
      <c r="B3" s="669"/>
      <c r="C3" s="669"/>
      <c r="D3" s="669"/>
      <c r="E3" s="669"/>
      <c r="F3" s="669"/>
      <c r="G3" s="669"/>
      <c r="H3" s="669"/>
      <c r="I3" s="186"/>
    </row>
    <row r="4" spans="1:9" ht="15.75">
      <c r="A4" s="187"/>
      <c r="B4" s="188"/>
      <c r="C4" s="670" t="s">
        <v>452</v>
      </c>
      <c r="D4" s="670"/>
      <c r="E4" s="670"/>
      <c r="F4" s="671"/>
      <c r="G4" s="189" t="s">
        <v>330</v>
      </c>
      <c r="H4" s="189" t="s">
        <v>331</v>
      </c>
      <c r="I4" s="653" t="s">
        <v>332</v>
      </c>
    </row>
    <row r="5" spans="1:9" ht="15.75">
      <c r="A5" s="187"/>
      <c r="B5" s="190"/>
      <c r="C5" s="672" t="s">
        <v>356</v>
      </c>
      <c r="D5" s="672"/>
      <c r="E5" s="672"/>
      <c r="F5" s="673"/>
      <c r="G5" s="191">
        <v>1.2833</v>
      </c>
      <c r="H5" s="192">
        <v>0.309</v>
      </c>
      <c r="I5" s="653"/>
    </row>
    <row r="6" spans="1:11" ht="15">
      <c r="A6" s="674" t="s">
        <v>333</v>
      </c>
      <c r="B6" s="675"/>
      <c r="C6" s="675"/>
      <c r="D6" s="675"/>
      <c r="E6" s="675"/>
      <c r="F6" s="675"/>
      <c r="G6" s="675"/>
      <c r="H6" s="675"/>
      <c r="I6" s="193">
        <v>43344</v>
      </c>
      <c r="K6" s="243"/>
    </row>
    <row r="7" spans="1:11" ht="15">
      <c r="A7" s="674"/>
      <c r="B7" s="675"/>
      <c r="C7" s="675"/>
      <c r="D7" s="675"/>
      <c r="E7" s="675"/>
      <c r="F7" s="675"/>
      <c r="G7" s="675"/>
      <c r="H7" s="675"/>
      <c r="I7" s="194" t="s">
        <v>545</v>
      </c>
      <c r="K7" s="402"/>
    </row>
    <row r="8" spans="1:9" ht="15" customHeight="1">
      <c r="A8" s="195" t="s">
        <v>334</v>
      </c>
      <c r="B8" s="410" t="s">
        <v>296</v>
      </c>
      <c r="C8" s="243"/>
      <c r="D8" s="243"/>
      <c r="E8" s="243"/>
      <c r="F8" s="243"/>
      <c r="G8" s="243"/>
      <c r="H8" s="243"/>
      <c r="I8" s="413"/>
    </row>
    <row r="9" spans="1:9" ht="15">
      <c r="A9" s="196" t="s">
        <v>335</v>
      </c>
      <c r="B9" s="402" t="s">
        <v>220</v>
      </c>
      <c r="C9" s="402"/>
      <c r="D9" s="402"/>
      <c r="E9" s="402"/>
      <c r="F9" s="402"/>
      <c r="G9" s="402"/>
      <c r="H9" s="402"/>
      <c r="I9" s="412"/>
    </row>
    <row r="10" spans="1:9" ht="15">
      <c r="A10" s="197"/>
      <c r="B10" s="198"/>
      <c r="C10" s="199"/>
      <c r="D10" s="199"/>
      <c r="E10" s="199"/>
      <c r="F10" s="198"/>
      <c r="G10" s="200"/>
      <c r="H10" s="201"/>
      <c r="I10" s="202"/>
    </row>
    <row r="11" spans="1:9" ht="15">
      <c r="A11" s="645" t="s">
        <v>336</v>
      </c>
      <c r="B11" s="646"/>
      <c r="C11" s="646"/>
      <c r="D11" s="646"/>
      <c r="E11" s="646"/>
      <c r="F11" s="646"/>
      <c r="G11" s="646"/>
      <c r="H11" s="646"/>
      <c r="I11" s="647"/>
    </row>
    <row r="12" spans="1:9" ht="15">
      <c r="A12" s="203" t="s">
        <v>337</v>
      </c>
      <c r="B12" s="204" t="s">
        <v>338</v>
      </c>
      <c r="C12" s="663" t="s">
        <v>326</v>
      </c>
      <c r="D12" s="664"/>
      <c r="E12" s="665"/>
      <c r="F12" s="204" t="s">
        <v>215</v>
      </c>
      <c r="G12" s="204" t="s">
        <v>339</v>
      </c>
      <c r="H12" s="204" t="s">
        <v>340</v>
      </c>
      <c r="I12" s="205" t="s">
        <v>341</v>
      </c>
    </row>
    <row r="13" spans="1:9" ht="14.25">
      <c r="A13" s="403">
        <v>10139</v>
      </c>
      <c r="B13" s="207" t="s">
        <v>83</v>
      </c>
      <c r="C13" s="686" t="s">
        <v>595</v>
      </c>
      <c r="D13" s="627" t="s">
        <v>342</v>
      </c>
      <c r="E13" s="628" t="s">
        <v>342</v>
      </c>
      <c r="F13" s="208" t="s">
        <v>343</v>
      </c>
      <c r="G13" s="209">
        <v>0.15</v>
      </c>
      <c r="H13" s="210">
        <v>6.42</v>
      </c>
      <c r="I13" s="211">
        <f>G13*H13</f>
        <v>0.96</v>
      </c>
    </row>
    <row r="14" spans="1:9" ht="14.25">
      <c r="A14" s="403">
        <v>10146</v>
      </c>
      <c r="B14" s="207" t="s">
        <v>83</v>
      </c>
      <c r="C14" s="686" t="s">
        <v>596</v>
      </c>
      <c r="D14" s="627" t="s">
        <v>344</v>
      </c>
      <c r="E14" s="628" t="s">
        <v>344</v>
      </c>
      <c r="F14" s="208" t="s">
        <v>343</v>
      </c>
      <c r="G14" s="209">
        <v>0.15</v>
      </c>
      <c r="H14" s="210">
        <v>4.72</v>
      </c>
      <c r="I14" s="211">
        <f>G14*H14</f>
        <v>0.71</v>
      </c>
    </row>
    <row r="15" spans="1:9" ht="15">
      <c r="A15" s="213"/>
      <c r="B15" s="207"/>
      <c r="C15" s="683"/>
      <c r="D15" s="684"/>
      <c r="E15" s="685"/>
      <c r="F15" s="208"/>
      <c r="G15" s="208"/>
      <c r="H15" s="208"/>
      <c r="I15" s="211"/>
    </row>
    <row r="16" spans="1:9" ht="15" customHeight="1">
      <c r="A16" s="214"/>
      <c r="B16" s="215"/>
      <c r="C16" s="683"/>
      <c r="D16" s="684"/>
      <c r="E16" s="685"/>
      <c r="F16" s="215"/>
      <c r="G16" s="215"/>
      <c r="H16" s="215"/>
      <c r="I16" s="216"/>
    </row>
    <row r="17" spans="1:9" ht="15">
      <c r="A17" s="213"/>
      <c r="B17" s="207"/>
      <c r="C17" s="683"/>
      <c r="D17" s="684"/>
      <c r="E17" s="685"/>
      <c r="F17" s="208"/>
      <c r="G17" s="208"/>
      <c r="H17" s="208"/>
      <c r="I17" s="211"/>
    </row>
    <row r="18" spans="1:9" ht="14.25">
      <c r="A18" s="660" t="s">
        <v>345</v>
      </c>
      <c r="B18" s="661"/>
      <c r="C18" s="661"/>
      <c r="D18" s="661"/>
      <c r="E18" s="661"/>
      <c r="F18" s="661"/>
      <c r="G18" s="661"/>
      <c r="H18" s="662"/>
      <c r="I18" s="217">
        <f>SUM(I13:I14)</f>
        <v>1.67</v>
      </c>
    </row>
    <row r="19" spans="1:9" ht="14.25">
      <c r="A19" s="657"/>
      <c r="B19" s="658"/>
      <c r="C19" s="658"/>
      <c r="D19" s="658"/>
      <c r="E19" s="658"/>
      <c r="F19" s="658"/>
      <c r="G19" s="658"/>
      <c r="H19" s="658"/>
      <c r="I19" s="659"/>
    </row>
    <row r="20" spans="1:9" ht="15">
      <c r="A20" s="645" t="s">
        <v>346</v>
      </c>
      <c r="B20" s="646"/>
      <c r="C20" s="646"/>
      <c r="D20" s="646"/>
      <c r="E20" s="646"/>
      <c r="F20" s="646"/>
      <c r="G20" s="646"/>
      <c r="H20" s="646"/>
      <c r="I20" s="647"/>
    </row>
    <row r="21" spans="1:9" ht="15">
      <c r="A21" s="203" t="s">
        <v>337</v>
      </c>
      <c r="B21" s="204" t="s">
        <v>338</v>
      </c>
      <c r="C21" s="663" t="s">
        <v>326</v>
      </c>
      <c r="D21" s="664"/>
      <c r="E21" s="665"/>
      <c r="F21" s="204" t="s">
        <v>215</v>
      </c>
      <c r="G21" s="204" t="s">
        <v>339</v>
      </c>
      <c r="H21" s="204" t="s">
        <v>340</v>
      </c>
      <c r="I21" s="205" t="s">
        <v>341</v>
      </c>
    </row>
    <row r="22" spans="1:9" ht="36" customHeight="1">
      <c r="A22" s="403">
        <v>20732</v>
      </c>
      <c r="B22" s="234" t="s">
        <v>83</v>
      </c>
      <c r="C22" s="688" t="s">
        <v>629</v>
      </c>
      <c r="D22" s="689"/>
      <c r="E22" s="690"/>
      <c r="F22" s="35" t="s">
        <v>247</v>
      </c>
      <c r="G22" s="404">
        <v>0.135</v>
      </c>
      <c r="H22" s="218">
        <v>1.7</v>
      </c>
      <c r="I22" s="219">
        <f>G22*H22</f>
        <v>0.23</v>
      </c>
    </row>
    <row r="23" spans="1:12" ht="24" customHeight="1">
      <c r="A23" s="403">
        <v>33511</v>
      </c>
      <c r="B23" s="35" t="s">
        <v>83</v>
      </c>
      <c r="C23" s="135" t="s">
        <v>630</v>
      </c>
      <c r="D23" s="396"/>
      <c r="E23" s="397"/>
      <c r="F23" s="35" t="s">
        <v>220</v>
      </c>
      <c r="G23" s="212">
        <v>1</v>
      </c>
      <c r="H23" s="218">
        <v>31.2</v>
      </c>
      <c r="I23" s="219">
        <f>G23*H23</f>
        <v>31.2</v>
      </c>
      <c r="L23" s="38"/>
    </row>
    <row r="24" spans="1:12" ht="19.5" customHeight="1">
      <c r="A24" s="403"/>
      <c r="B24" s="35"/>
      <c r="C24" s="629"/>
      <c r="D24" s="632"/>
      <c r="E24" s="633"/>
      <c r="F24" s="35"/>
      <c r="G24" s="405"/>
      <c r="H24" s="218"/>
      <c r="I24" s="219"/>
      <c r="L24" s="38"/>
    </row>
    <row r="25" spans="1:9" ht="19.5" customHeight="1">
      <c r="A25" s="403"/>
      <c r="B25" s="35"/>
      <c r="C25" s="629"/>
      <c r="D25" s="632"/>
      <c r="E25" s="633"/>
      <c r="F25" s="35"/>
      <c r="G25" s="405"/>
      <c r="H25" s="218"/>
      <c r="I25" s="219"/>
    </row>
    <row r="26" spans="1:9" ht="15" customHeight="1">
      <c r="A26" s="403"/>
      <c r="B26" s="35"/>
      <c r="C26" s="629"/>
      <c r="D26" s="632"/>
      <c r="E26" s="633"/>
      <c r="F26" s="35"/>
      <c r="G26" s="405"/>
      <c r="H26" s="218"/>
      <c r="I26" s="219"/>
    </row>
    <row r="27" spans="1:9" ht="15" customHeight="1">
      <c r="A27" s="403"/>
      <c r="B27" s="35"/>
      <c r="C27" s="691"/>
      <c r="D27" s="632"/>
      <c r="E27" s="633"/>
      <c r="F27" s="35"/>
      <c r="G27" s="405"/>
      <c r="H27" s="218"/>
      <c r="I27" s="219"/>
    </row>
    <row r="28" spans="1:9" ht="14.25">
      <c r="A28" s="687" t="s">
        <v>347</v>
      </c>
      <c r="B28" s="661"/>
      <c r="C28" s="661"/>
      <c r="D28" s="661"/>
      <c r="E28" s="661"/>
      <c r="F28" s="661"/>
      <c r="G28" s="661"/>
      <c r="H28" s="662"/>
      <c r="I28" s="217">
        <f>SUM(I22:I27)</f>
        <v>31.43</v>
      </c>
    </row>
    <row r="29" spans="1:9" ht="14.25">
      <c r="A29" s="657"/>
      <c r="B29" s="658"/>
      <c r="C29" s="658"/>
      <c r="D29" s="658"/>
      <c r="E29" s="658"/>
      <c r="F29" s="658"/>
      <c r="G29" s="658"/>
      <c r="H29" s="658"/>
      <c r="I29" s="659"/>
    </row>
    <row r="30" spans="1:9" ht="15">
      <c r="A30" s="645" t="s">
        <v>348</v>
      </c>
      <c r="B30" s="646"/>
      <c r="C30" s="646"/>
      <c r="D30" s="646"/>
      <c r="E30" s="646"/>
      <c r="F30" s="646"/>
      <c r="G30" s="646"/>
      <c r="H30" s="646"/>
      <c r="I30" s="647"/>
    </row>
    <row r="31" spans="1:9" ht="15">
      <c r="A31" s="229" t="s">
        <v>337</v>
      </c>
      <c r="B31" s="230" t="s">
        <v>338</v>
      </c>
      <c r="C31" s="678" t="s">
        <v>326</v>
      </c>
      <c r="D31" s="679"/>
      <c r="E31" s="680"/>
      <c r="F31" s="230" t="s">
        <v>215</v>
      </c>
      <c r="G31" s="230" t="s">
        <v>339</v>
      </c>
      <c r="H31" s="230" t="s">
        <v>340</v>
      </c>
      <c r="I31" s="231" t="s">
        <v>341</v>
      </c>
    </row>
    <row r="32" spans="1:9" ht="14.25">
      <c r="A32" s="206"/>
      <c r="B32" s="207"/>
      <c r="C32" s="636"/>
      <c r="D32" s="681"/>
      <c r="E32" s="682"/>
      <c r="F32" s="207"/>
      <c r="G32" s="207"/>
      <c r="H32" s="218"/>
      <c r="I32" s="221"/>
    </row>
    <row r="33" spans="1:9" ht="14.25">
      <c r="A33" s="214"/>
      <c r="B33" s="215"/>
      <c r="C33" s="636"/>
      <c r="D33" s="637"/>
      <c r="E33" s="638"/>
      <c r="F33" s="215"/>
      <c r="G33" s="215"/>
      <c r="H33" s="215"/>
      <c r="I33" s="216"/>
    </row>
    <row r="34" spans="1:9" ht="15">
      <c r="A34" s="214"/>
      <c r="B34" s="215"/>
      <c r="C34" s="683"/>
      <c r="D34" s="684"/>
      <c r="E34" s="685"/>
      <c r="F34" s="215"/>
      <c r="G34" s="215"/>
      <c r="H34" s="215"/>
      <c r="I34" s="216"/>
    </row>
    <row r="35" spans="1:9" ht="14.25">
      <c r="A35" s="660" t="s">
        <v>349</v>
      </c>
      <c r="B35" s="661"/>
      <c r="C35" s="661"/>
      <c r="D35" s="661"/>
      <c r="E35" s="661"/>
      <c r="F35" s="661"/>
      <c r="G35" s="661"/>
      <c r="H35" s="662"/>
      <c r="I35" s="217"/>
    </row>
    <row r="36" spans="1:9" ht="14.25">
      <c r="A36" s="657"/>
      <c r="B36" s="658"/>
      <c r="C36" s="658"/>
      <c r="D36" s="658"/>
      <c r="E36" s="658"/>
      <c r="F36" s="658"/>
      <c r="G36" s="658"/>
      <c r="H36" s="658"/>
      <c r="I36" s="659"/>
    </row>
    <row r="37" spans="1:9" ht="15">
      <c r="A37" s="645" t="s">
        <v>350</v>
      </c>
      <c r="B37" s="646"/>
      <c r="C37" s="646"/>
      <c r="D37" s="646"/>
      <c r="E37" s="646"/>
      <c r="F37" s="646"/>
      <c r="G37" s="646"/>
      <c r="H37" s="646"/>
      <c r="I37" s="647"/>
    </row>
    <row r="38" spans="1:9" ht="15">
      <c r="A38" s="648" t="s">
        <v>351</v>
      </c>
      <c r="B38" s="649"/>
      <c r="C38" s="649"/>
      <c r="D38" s="649"/>
      <c r="E38" s="649"/>
      <c r="F38" s="649"/>
      <c r="G38" s="649"/>
      <c r="H38" s="650"/>
      <c r="I38" s="217">
        <f>I18</f>
        <v>1.67</v>
      </c>
    </row>
    <row r="39" spans="1:9" ht="15">
      <c r="A39" s="648" t="s">
        <v>352</v>
      </c>
      <c r="B39" s="649"/>
      <c r="C39" s="649"/>
      <c r="D39" s="649"/>
      <c r="E39" s="649"/>
      <c r="F39" s="649"/>
      <c r="G39" s="649"/>
      <c r="H39" s="650"/>
      <c r="I39" s="217">
        <f>I28</f>
        <v>31.43</v>
      </c>
    </row>
    <row r="40" spans="1:9" ht="15">
      <c r="A40" s="648" t="s">
        <v>349</v>
      </c>
      <c r="B40" s="649"/>
      <c r="C40" s="649"/>
      <c r="D40" s="649"/>
      <c r="E40" s="649"/>
      <c r="F40" s="649"/>
      <c r="G40" s="649"/>
      <c r="H40" s="650"/>
      <c r="I40" s="217">
        <f>I35</f>
        <v>0</v>
      </c>
    </row>
    <row r="41" spans="1:9" ht="15">
      <c r="A41" s="648" t="s">
        <v>353</v>
      </c>
      <c r="B41" s="649"/>
      <c r="C41" s="649"/>
      <c r="D41" s="649"/>
      <c r="E41" s="649"/>
      <c r="F41" s="649"/>
      <c r="G41" s="649"/>
      <c r="H41" s="650"/>
      <c r="I41" s="217">
        <f>I38*1.2833</f>
        <v>2.14</v>
      </c>
    </row>
    <row r="42" spans="1:9" ht="15">
      <c r="A42" s="648" t="s">
        <v>354</v>
      </c>
      <c r="B42" s="649"/>
      <c r="C42" s="649"/>
      <c r="D42" s="649"/>
      <c r="E42" s="649"/>
      <c r="F42" s="649"/>
      <c r="G42" s="649"/>
      <c r="H42" s="650"/>
      <c r="I42" s="217">
        <f>SUM(I38:I41)</f>
        <v>35.24</v>
      </c>
    </row>
    <row r="43" spans="1:9" ht="15">
      <c r="A43" s="648" t="s">
        <v>357</v>
      </c>
      <c r="B43" s="649"/>
      <c r="C43" s="649"/>
      <c r="D43" s="649"/>
      <c r="E43" s="649"/>
      <c r="F43" s="649"/>
      <c r="G43" s="649"/>
      <c r="H43" s="650"/>
      <c r="I43" s="217">
        <f>I42*30.9%</f>
        <v>10.89</v>
      </c>
    </row>
    <row r="44" spans="1:9" ht="15">
      <c r="A44" s="634" t="s">
        <v>355</v>
      </c>
      <c r="B44" s="635"/>
      <c r="C44" s="635"/>
      <c r="D44" s="635"/>
      <c r="E44" s="635"/>
      <c r="F44" s="635"/>
      <c r="G44" s="635"/>
      <c r="H44" s="635"/>
      <c r="I44" s="232">
        <f>I42+I43</f>
        <v>46.13</v>
      </c>
    </row>
    <row r="45" spans="1:9" ht="15" thickBot="1">
      <c r="A45" s="654"/>
      <c r="B45" s="655"/>
      <c r="C45" s="655"/>
      <c r="D45" s="655"/>
      <c r="E45" s="655"/>
      <c r="F45" s="655"/>
      <c r="G45" s="655"/>
      <c r="H45" s="655"/>
      <c r="I45" s="656"/>
    </row>
  </sheetData>
  <sheetProtection/>
  <mergeCells count="39">
    <mergeCell ref="A1:H3"/>
    <mergeCell ref="C4:F4"/>
    <mergeCell ref="I4:I5"/>
    <mergeCell ref="C5:F5"/>
    <mergeCell ref="A6:H7"/>
    <mergeCell ref="C21:E21"/>
    <mergeCell ref="A11:I11"/>
    <mergeCell ref="C12:E12"/>
    <mergeCell ref="C13:E13"/>
    <mergeCell ref="C14:E14"/>
    <mergeCell ref="C15:E15"/>
    <mergeCell ref="C22:E22"/>
    <mergeCell ref="C24:E24"/>
    <mergeCell ref="C25:E25"/>
    <mergeCell ref="C26:E26"/>
    <mergeCell ref="C27:E27"/>
    <mergeCell ref="C16:E16"/>
    <mergeCell ref="C17:E17"/>
    <mergeCell ref="A18:H18"/>
    <mergeCell ref="A19:I19"/>
    <mergeCell ref="A20:I20"/>
    <mergeCell ref="A44:H44"/>
    <mergeCell ref="A45:I45"/>
    <mergeCell ref="C34:E34"/>
    <mergeCell ref="A38:H38"/>
    <mergeCell ref="A39:H39"/>
    <mergeCell ref="C33:E33"/>
    <mergeCell ref="A36:I36"/>
    <mergeCell ref="A37:I37"/>
    <mergeCell ref="A40:H40"/>
    <mergeCell ref="A41:H41"/>
    <mergeCell ref="A42:H42"/>
    <mergeCell ref="A43:H43"/>
    <mergeCell ref="A28:H28"/>
    <mergeCell ref="A29:I29"/>
    <mergeCell ref="A30:I30"/>
    <mergeCell ref="C31:E31"/>
    <mergeCell ref="C32:E32"/>
    <mergeCell ref="A35:H35"/>
  </mergeCells>
  <printOptions/>
  <pageMargins left="0.5118110236220472" right="0.5118110236220472" top="0.7874015748031497" bottom="0.7874015748031497" header="0.31496062992125984" footer="0.31496062992125984"/>
  <pageSetup fitToHeight="1" fitToWidth="1" horizontalDpi="360" verticalDpi="360" orientation="portrait" paperSize="9" scale="74" r:id="rId3"/>
  <headerFooter>
    <oddFooter>&amp;L&amp;G&amp;CAvenida Getúlio Vargas, 1.710 – 7° andar - Funcionários – Belo Horizonte - MG. CEP:30112-021&amp;R&amp;P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E10" sqref="E10"/>
    </sheetView>
  </sheetViews>
  <sheetFormatPr defaultColWidth="9.00390625" defaultRowHeight="14.25"/>
  <cols>
    <col min="5" max="5" width="27.875" style="0" customWidth="1"/>
    <col min="8" max="8" width="10.50390625" style="0" bestFit="1" customWidth="1"/>
    <col min="9" max="9" width="13.125" style="0" customWidth="1"/>
  </cols>
  <sheetData>
    <row r="1" spans="1:9" ht="15.75">
      <c r="A1" s="666" t="s">
        <v>204</v>
      </c>
      <c r="B1" s="667"/>
      <c r="C1" s="667"/>
      <c r="D1" s="667"/>
      <c r="E1" s="667"/>
      <c r="F1" s="667"/>
      <c r="G1" s="667"/>
      <c r="H1" s="667"/>
      <c r="I1" s="185"/>
    </row>
    <row r="2" spans="1:9" ht="15.75">
      <c r="A2" s="668"/>
      <c r="B2" s="669"/>
      <c r="C2" s="669"/>
      <c r="D2" s="669"/>
      <c r="E2" s="669"/>
      <c r="F2" s="669"/>
      <c r="G2" s="669"/>
      <c r="H2" s="669"/>
      <c r="I2" s="186"/>
    </row>
    <row r="3" spans="1:9" ht="15.75">
      <c r="A3" s="668"/>
      <c r="B3" s="669"/>
      <c r="C3" s="669"/>
      <c r="D3" s="669"/>
      <c r="E3" s="669"/>
      <c r="F3" s="669"/>
      <c r="G3" s="669"/>
      <c r="H3" s="669"/>
      <c r="I3" s="186"/>
    </row>
    <row r="4" spans="1:9" ht="15.75">
      <c r="A4" s="187"/>
      <c r="B4" s="188"/>
      <c r="C4" s="670" t="s">
        <v>452</v>
      </c>
      <c r="D4" s="670"/>
      <c r="E4" s="670"/>
      <c r="F4" s="671"/>
      <c r="G4" s="189" t="s">
        <v>330</v>
      </c>
      <c r="H4" s="189" t="s">
        <v>331</v>
      </c>
      <c r="I4" s="653" t="s">
        <v>332</v>
      </c>
    </row>
    <row r="5" spans="1:9" ht="15.75">
      <c r="A5" s="187"/>
      <c r="B5" s="190"/>
      <c r="C5" s="672" t="s">
        <v>356</v>
      </c>
      <c r="D5" s="672"/>
      <c r="E5" s="672"/>
      <c r="F5" s="673"/>
      <c r="G5" s="191">
        <v>1.2833</v>
      </c>
      <c r="H5" s="192">
        <v>0.309</v>
      </c>
      <c r="I5" s="653"/>
    </row>
    <row r="6" spans="1:9" ht="15">
      <c r="A6" s="674" t="s">
        <v>333</v>
      </c>
      <c r="B6" s="675"/>
      <c r="C6" s="675"/>
      <c r="D6" s="675"/>
      <c r="E6" s="675"/>
      <c r="F6" s="675"/>
      <c r="G6" s="675"/>
      <c r="H6" s="675"/>
      <c r="I6" s="193">
        <v>43344</v>
      </c>
    </row>
    <row r="7" spans="1:9" ht="15">
      <c r="A7" s="674"/>
      <c r="B7" s="675"/>
      <c r="C7" s="675"/>
      <c r="D7" s="675"/>
      <c r="E7" s="675"/>
      <c r="F7" s="675"/>
      <c r="G7" s="675"/>
      <c r="H7" s="675"/>
      <c r="I7" s="194" t="s">
        <v>697</v>
      </c>
    </row>
    <row r="8" spans="1:9" ht="15">
      <c r="A8" s="195" t="s">
        <v>334</v>
      </c>
      <c r="B8" s="676" t="s">
        <v>698</v>
      </c>
      <c r="C8" s="676"/>
      <c r="D8" s="676"/>
      <c r="E8" s="676"/>
      <c r="F8" s="676"/>
      <c r="G8" s="676"/>
      <c r="H8" s="676"/>
      <c r="I8" s="677"/>
    </row>
    <row r="9" spans="1:9" ht="15">
      <c r="A9" s="196" t="s">
        <v>335</v>
      </c>
      <c r="B9" s="651" t="s">
        <v>216</v>
      </c>
      <c r="C9" s="651"/>
      <c r="D9" s="651"/>
      <c r="E9" s="651"/>
      <c r="F9" s="651"/>
      <c r="G9" s="651"/>
      <c r="H9" s="651"/>
      <c r="I9" s="652"/>
    </row>
    <row r="10" spans="1:9" ht="15">
      <c r="A10" s="197"/>
      <c r="B10" s="198"/>
      <c r="C10" s="199"/>
      <c r="D10" s="199"/>
      <c r="E10" s="199"/>
      <c r="F10" s="198"/>
      <c r="G10" s="200"/>
      <c r="H10" s="201"/>
      <c r="I10" s="202"/>
    </row>
    <row r="11" spans="1:9" ht="15">
      <c r="A11" s="645" t="s">
        <v>336</v>
      </c>
      <c r="B11" s="646"/>
      <c r="C11" s="646"/>
      <c r="D11" s="646"/>
      <c r="E11" s="646"/>
      <c r="F11" s="646"/>
      <c r="G11" s="646"/>
      <c r="H11" s="646"/>
      <c r="I11" s="647"/>
    </row>
    <row r="12" spans="1:9" ht="15">
      <c r="A12" s="203" t="s">
        <v>337</v>
      </c>
      <c r="B12" s="204" t="s">
        <v>338</v>
      </c>
      <c r="C12" s="663" t="s">
        <v>326</v>
      </c>
      <c r="D12" s="664"/>
      <c r="E12" s="665"/>
      <c r="F12" s="204" t="s">
        <v>215</v>
      </c>
      <c r="G12" s="204" t="s">
        <v>339</v>
      </c>
      <c r="H12" s="204" t="s">
        <v>340</v>
      </c>
      <c r="I12" s="205" t="s">
        <v>341</v>
      </c>
    </row>
    <row r="13" spans="1:9" ht="14.25">
      <c r="A13" s="403">
        <v>10101</v>
      </c>
      <c r="B13" s="207" t="s">
        <v>83</v>
      </c>
      <c r="C13" s="626" t="s">
        <v>699</v>
      </c>
      <c r="D13" s="627" t="s">
        <v>342</v>
      </c>
      <c r="E13" s="628" t="s">
        <v>342</v>
      </c>
      <c r="F13" s="208" t="s">
        <v>343</v>
      </c>
      <c r="G13" s="209">
        <v>1.85</v>
      </c>
      <c r="H13" s="210">
        <v>5.42</v>
      </c>
      <c r="I13" s="211">
        <f>G13*H13</f>
        <v>10.03</v>
      </c>
    </row>
    <row r="14" spans="1:9" ht="14.25">
      <c r="A14" s="403">
        <v>10139</v>
      </c>
      <c r="B14" s="207" t="s">
        <v>83</v>
      </c>
      <c r="C14" s="686" t="s">
        <v>595</v>
      </c>
      <c r="D14" s="627" t="s">
        <v>344</v>
      </c>
      <c r="E14" s="628" t="s">
        <v>344</v>
      </c>
      <c r="F14" s="208" t="s">
        <v>343</v>
      </c>
      <c r="G14" s="209">
        <v>1.85</v>
      </c>
      <c r="H14" s="210">
        <v>6.42</v>
      </c>
      <c r="I14" s="211">
        <f>G14*H14</f>
        <v>11.88</v>
      </c>
    </row>
    <row r="15" spans="1:9" ht="15">
      <c r="A15" s="214"/>
      <c r="B15" s="215"/>
      <c r="C15" s="683"/>
      <c r="D15" s="684"/>
      <c r="E15" s="685"/>
      <c r="F15" s="215"/>
      <c r="G15" s="215"/>
      <c r="H15" s="215"/>
      <c r="I15" s="216"/>
    </row>
    <row r="16" spans="1:9" ht="15">
      <c r="A16" s="213"/>
      <c r="B16" s="207"/>
      <c r="C16" s="683"/>
      <c r="D16" s="684"/>
      <c r="E16" s="685"/>
      <c r="F16" s="208"/>
      <c r="G16" s="208"/>
      <c r="H16" s="208"/>
      <c r="I16" s="211"/>
    </row>
    <row r="17" spans="1:9" ht="14.25">
      <c r="A17" s="660" t="s">
        <v>345</v>
      </c>
      <c r="B17" s="661"/>
      <c r="C17" s="661"/>
      <c r="D17" s="661"/>
      <c r="E17" s="661"/>
      <c r="F17" s="661"/>
      <c r="G17" s="661"/>
      <c r="H17" s="662"/>
      <c r="I17" s="217">
        <f>SUM(I13:I14)</f>
        <v>21.91</v>
      </c>
    </row>
    <row r="18" spans="1:9" ht="14.25">
      <c r="A18" s="657"/>
      <c r="B18" s="658"/>
      <c r="C18" s="658"/>
      <c r="D18" s="658"/>
      <c r="E18" s="658"/>
      <c r="F18" s="658"/>
      <c r="G18" s="658"/>
      <c r="H18" s="658"/>
      <c r="I18" s="659"/>
    </row>
    <row r="19" spans="1:9" ht="15">
      <c r="A19" s="645" t="s">
        <v>346</v>
      </c>
      <c r="B19" s="646"/>
      <c r="C19" s="646"/>
      <c r="D19" s="646"/>
      <c r="E19" s="646"/>
      <c r="F19" s="646"/>
      <c r="G19" s="646"/>
      <c r="H19" s="646"/>
      <c r="I19" s="647"/>
    </row>
    <row r="20" spans="1:9" ht="15">
      <c r="A20" s="203" t="s">
        <v>337</v>
      </c>
      <c r="B20" s="204" t="s">
        <v>338</v>
      </c>
      <c r="C20" s="663" t="s">
        <v>326</v>
      </c>
      <c r="D20" s="664"/>
      <c r="E20" s="665"/>
      <c r="F20" s="204" t="s">
        <v>215</v>
      </c>
      <c r="G20" s="204" t="s">
        <v>339</v>
      </c>
      <c r="H20" s="204" t="s">
        <v>340</v>
      </c>
      <c r="I20" s="205" t="s">
        <v>341</v>
      </c>
    </row>
    <row r="21" spans="1:9" ht="14.25">
      <c r="A21" s="233">
        <v>300119</v>
      </c>
      <c r="B21" s="35" t="s">
        <v>83</v>
      </c>
      <c r="C21" s="691" t="s">
        <v>700</v>
      </c>
      <c r="D21" s="689"/>
      <c r="E21" s="690"/>
      <c r="F21" s="35" t="s">
        <v>216</v>
      </c>
      <c r="G21" s="209">
        <v>1</v>
      </c>
      <c r="H21" s="218">
        <f>23.99/1.309</f>
        <v>18.33</v>
      </c>
      <c r="I21" s="219">
        <f aca="true" t="shared" si="0" ref="I21:I26">G21*H21</f>
        <v>18.33</v>
      </c>
    </row>
    <row r="22" spans="1:9" ht="33" customHeight="1">
      <c r="A22" s="233" t="s">
        <v>83</v>
      </c>
      <c r="B22" s="35" t="s">
        <v>83</v>
      </c>
      <c r="C22" s="691" t="s">
        <v>701</v>
      </c>
      <c r="D22" s="689"/>
      <c r="E22" s="690"/>
      <c r="F22" s="35" t="s">
        <v>221</v>
      </c>
      <c r="G22" s="209">
        <v>0.2</v>
      </c>
      <c r="H22" s="218">
        <f>516.3/1.309</f>
        <v>394.42</v>
      </c>
      <c r="I22" s="219">
        <f t="shared" si="0"/>
        <v>78.88</v>
      </c>
    </row>
    <row r="23" spans="1:9" ht="42.75" customHeight="1">
      <c r="A23" s="206">
        <v>40235</v>
      </c>
      <c r="B23" s="35" t="s">
        <v>83</v>
      </c>
      <c r="C23" s="686" t="s">
        <v>702</v>
      </c>
      <c r="D23" s="637"/>
      <c r="E23" s="638"/>
      <c r="F23" s="35" t="s">
        <v>221</v>
      </c>
      <c r="G23" s="212">
        <v>0.08</v>
      </c>
      <c r="H23" s="218">
        <v>394.42</v>
      </c>
      <c r="I23" s="219">
        <f t="shared" si="0"/>
        <v>31.55</v>
      </c>
    </row>
    <row r="24" spans="1:9" ht="14.25">
      <c r="A24" s="206">
        <v>34353</v>
      </c>
      <c r="B24" s="35" t="s">
        <v>85</v>
      </c>
      <c r="C24" s="686" t="s">
        <v>703</v>
      </c>
      <c r="D24" s="637"/>
      <c r="E24" s="638"/>
      <c r="F24" s="35" t="s">
        <v>247</v>
      </c>
      <c r="G24" s="212">
        <v>0.5</v>
      </c>
      <c r="H24" s="218">
        <v>1.02</v>
      </c>
      <c r="I24" s="219">
        <f t="shared" si="0"/>
        <v>0.51</v>
      </c>
    </row>
    <row r="25" spans="1:9" ht="33.75" customHeight="1">
      <c r="A25" s="206"/>
      <c r="B25" s="35"/>
      <c r="C25" s="686" t="s">
        <v>707</v>
      </c>
      <c r="D25" s="637"/>
      <c r="E25" s="638"/>
      <c r="F25" s="35" t="s">
        <v>216</v>
      </c>
      <c r="G25" s="212">
        <v>1</v>
      </c>
      <c r="H25" s="218">
        <v>57.07</v>
      </c>
      <c r="I25" s="219">
        <f t="shared" si="0"/>
        <v>57.07</v>
      </c>
    </row>
    <row r="26" spans="1:9" ht="14.25">
      <c r="A26" s="206"/>
      <c r="B26" s="35"/>
      <c r="C26" s="691"/>
      <c r="D26" s="632"/>
      <c r="E26" s="633"/>
      <c r="F26" s="35"/>
      <c r="G26" s="212"/>
      <c r="H26" s="218"/>
      <c r="I26" s="219">
        <f t="shared" si="0"/>
        <v>0</v>
      </c>
    </row>
    <row r="27" spans="1:9" ht="14.25">
      <c r="A27" s="660" t="s">
        <v>347</v>
      </c>
      <c r="B27" s="661"/>
      <c r="C27" s="661"/>
      <c r="D27" s="661"/>
      <c r="E27" s="661"/>
      <c r="F27" s="661"/>
      <c r="G27" s="661"/>
      <c r="H27" s="662"/>
      <c r="I27" s="217">
        <f>SUM(I21:I25)</f>
        <v>186.34</v>
      </c>
    </row>
    <row r="28" spans="1:9" ht="14.25">
      <c r="A28" s="657"/>
      <c r="B28" s="658"/>
      <c r="C28" s="658"/>
      <c r="D28" s="658"/>
      <c r="E28" s="658"/>
      <c r="F28" s="658"/>
      <c r="G28" s="658"/>
      <c r="H28" s="658"/>
      <c r="I28" s="659"/>
    </row>
    <row r="29" spans="1:9" ht="15">
      <c r="A29" s="645" t="s">
        <v>348</v>
      </c>
      <c r="B29" s="646"/>
      <c r="C29" s="646"/>
      <c r="D29" s="646"/>
      <c r="E29" s="646"/>
      <c r="F29" s="646"/>
      <c r="G29" s="646"/>
      <c r="H29" s="646"/>
      <c r="I29" s="647"/>
    </row>
    <row r="30" spans="1:9" ht="15">
      <c r="A30" s="229" t="s">
        <v>337</v>
      </c>
      <c r="B30" s="230" t="s">
        <v>338</v>
      </c>
      <c r="C30" s="678" t="s">
        <v>326</v>
      </c>
      <c r="D30" s="679"/>
      <c r="E30" s="680"/>
      <c r="F30" s="230" t="s">
        <v>215</v>
      </c>
      <c r="G30" s="230" t="s">
        <v>339</v>
      </c>
      <c r="H30" s="230" t="s">
        <v>340</v>
      </c>
      <c r="I30" s="231" t="s">
        <v>341</v>
      </c>
    </row>
    <row r="31" spans="1:9" ht="14.25">
      <c r="A31" s="206"/>
      <c r="B31" s="207"/>
      <c r="C31" s="636"/>
      <c r="D31" s="681"/>
      <c r="E31" s="682"/>
      <c r="F31" s="207"/>
      <c r="G31" s="207"/>
      <c r="H31" s="218"/>
      <c r="I31" s="221"/>
    </row>
    <row r="32" spans="1:9" ht="14.25">
      <c r="A32" s="214"/>
      <c r="B32" s="215"/>
      <c r="C32" s="636"/>
      <c r="D32" s="637"/>
      <c r="E32" s="638"/>
      <c r="F32" s="215"/>
      <c r="G32" s="215"/>
      <c r="H32" s="215"/>
      <c r="I32" s="216"/>
    </row>
    <row r="33" spans="1:9" ht="15">
      <c r="A33" s="214"/>
      <c r="B33" s="215"/>
      <c r="C33" s="683"/>
      <c r="D33" s="684"/>
      <c r="E33" s="685"/>
      <c r="F33" s="215"/>
      <c r="G33" s="215"/>
      <c r="H33" s="215"/>
      <c r="I33" s="216"/>
    </row>
    <row r="34" spans="1:9" ht="14.25">
      <c r="A34" s="660" t="s">
        <v>349</v>
      </c>
      <c r="B34" s="661"/>
      <c r="C34" s="661"/>
      <c r="D34" s="661"/>
      <c r="E34" s="661"/>
      <c r="F34" s="661"/>
      <c r="G34" s="661"/>
      <c r="H34" s="662"/>
      <c r="I34" s="217"/>
    </row>
    <row r="35" spans="1:9" ht="14.25">
      <c r="A35" s="657"/>
      <c r="B35" s="658"/>
      <c r="C35" s="658"/>
      <c r="D35" s="658"/>
      <c r="E35" s="658"/>
      <c r="F35" s="658"/>
      <c r="G35" s="658"/>
      <c r="H35" s="658"/>
      <c r="I35" s="659"/>
    </row>
    <row r="36" spans="1:9" ht="15">
      <c r="A36" s="645" t="s">
        <v>350</v>
      </c>
      <c r="B36" s="646"/>
      <c r="C36" s="646"/>
      <c r="D36" s="646"/>
      <c r="E36" s="646"/>
      <c r="F36" s="646"/>
      <c r="G36" s="646"/>
      <c r="H36" s="646"/>
      <c r="I36" s="647"/>
    </row>
    <row r="37" spans="1:9" ht="15">
      <c r="A37" s="648" t="s">
        <v>351</v>
      </c>
      <c r="B37" s="649"/>
      <c r="C37" s="649"/>
      <c r="D37" s="649"/>
      <c r="E37" s="649"/>
      <c r="F37" s="649"/>
      <c r="G37" s="649"/>
      <c r="H37" s="650"/>
      <c r="I37" s="217">
        <f>I17</f>
        <v>21.91</v>
      </c>
    </row>
    <row r="38" spans="1:9" ht="15">
      <c r="A38" s="648" t="s">
        <v>352</v>
      </c>
      <c r="B38" s="649"/>
      <c r="C38" s="649"/>
      <c r="D38" s="649"/>
      <c r="E38" s="649"/>
      <c r="F38" s="649"/>
      <c r="G38" s="649"/>
      <c r="H38" s="650"/>
      <c r="I38" s="217">
        <f>I27</f>
        <v>186.34</v>
      </c>
    </row>
    <row r="39" spans="1:9" ht="15">
      <c r="A39" s="648" t="s">
        <v>349</v>
      </c>
      <c r="B39" s="649"/>
      <c r="C39" s="649"/>
      <c r="D39" s="649"/>
      <c r="E39" s="649"/>
      <c r="F39" s="649"/>
      <c r="G39" s="649"/>
      <c r="H39" s="650"/>
      <c r="I39" s="217">
        <f>I34</f>
        <v>0</v>
      </c>
    </row>
    <row r="40" spans="1:9" ht="15">
      <c r="A40" s="648" t="s">
        <v>353</v>
      </c>
      <c r="B40" s="649"/>
      <c r="C40" s="649"/>
      <c r="D40" s="649"/>
      <c r="E40" s="649"/>
      <c r="F40" s="649"/>
      <c r="G40" s="649"/>
      <c r="H40" s="650"/>
      <c r="I40" s="216"/>
    </row>
    <row r="41" spans="1:9" ht="15">
      <c r="A41" s="648" t="s">
        <v>354</v>
      </c>
      <c r="B41" s="649"/>
      <c r="C41" s="649"/>
      <c r="D41" s="649"/>
      <c r="E41" s="649"/>
      <c r="F41" s="649"/>
      <c r="G41" s="649"/>
      <c r="H41" s="650"/>
      <c r="I41" s="217">
        <f>SUM(I37:I39)</f>
        <v>208.25</v>
      </c>
    </row>
    <row r="42" spans="1:9" ht="15">
      <c r="A42" s="648" t="s">
        <v>357</v>
      </c>
      <c r="B42" s="649"/>
      <c r="C42" s="649"/>
      <c r="D42" s="649"/>
      <c r="E42" s="649"/>
      <c r="F42" s="649"/>
      <c r="G42" s="649"/>
      <c r="H42" s="650"/>
      <c r="I42" s="217">
        <f>I41*30.9%</f>
        <v>64.35</v>
      </c>
    </row>
    <row r="43" spans="1:9" ht="15">
      <c r="A43" s="634" t="s">
        <v>355</v>
      </c>
      <c r="B43" s="635"/>
      <c r="C43" s="635"/>
      <c r="D43" s="635"/>
      <c r="E43" s="635"/>
      <c r="F43" s="635"/>
      <c r="G43" s="635"/>
      <c r="H43" s="635"/>
      <c r="I43" s="232">
        <f>I41+I42</f>
        <v>272.6</v>
      </c>
    </row>
    <row r="44" spans="1:9" ht="15" thickBot="1">
      <c r="A44" s="654"/>
      <c r="B44" s="655"/>
      <c r="C44" s="655"/>
      <c r="D44" s="655"/>
      <c r="E44" s="655"/>
      <c r="F44" s="655"/>
      <c r="G44" s="655"/>
      <c r="H44" s="655"/>
      <c r="I44" s="656"/>
    </row>
  </sheetData>
  <sheetProtection/>
  <mergeCells count="41">
    <mergeCell ref="A40:H40"/>
    <mergeCell ref="A41:H41"/>
    <mergeCell ref="A42:H42"/>
    <mergeCell ref="A43:H43"/>
    <mergeCell ref="A44:I44"/>
    <mergeCell ref="A34:H34"/>
    <mergeCell ref="A35:I35"/>
    <mergeCell ref="A36:I36"/>
    <mergeCell ref="A37:H37"/>
    <mergeCell ref="A38:H38"/>
    <mergeCell ref="A39:H39"/>
    <mergeCell ref="A28:I28"/>
    <mergeCell ref="A29:I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A27:H27"/>
    <mergeCell ref="C16:E16"/>
    <mergeCell ref="A17:H17"/>
    <mergeCell ref="A18:I18"/>
    <mergeCell ref="A19:I19"/>
    <mergeCell ref="C20:E20"/>
    <mergeCell ref="C21:E21"/>
    <mergeCell ref="B9:I9"/>
    <mergeCell ref="A11:I11"/>
    <mergeCell ref="C12:E12"/>
    <mergeCell ref="C13:E13"/>
    <mergeCell ref="C14:E14"/>
    <mergeCell ref="C15:E15"/>
    <mergeCell ref="A1:H3"/>
    <mergeCell ref="C4:F4"/>
    <mergeCell ref="I4:I5"/>
    <mergeCell ref="C5:F5"/>
    <mergeCell ref="A6:H7"/>
    <mergeCell ref="B8:I8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scale="75" r:id="rId3"/>
  <headerFooter>
    <oddFooter>&amp;L&amp;G&amp;CAvenida Getúlio Vargas, 1.710 – 7° andar - Funcionários – Belo Horizonte - MG. CEP:30112-021&amp;R&amp;P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Mariatereza</dc:creator>
  <cp:keywords/>
  <dc:description/>
  <cp:lastModifiedBy>Neidimara</cp:lastModifiedBy>
  <cp:lastPrinted>2019-06-06T17:06:09Z</cp:lastPrinted>
  <dcterms:created xsi:type="dcterms:W3CDTF">2006-08-29T12:31:16Z</dcterms:created>
  <dcterms:modified xsi:type="dcterms:W3CDTF">2019-06-07T17:22:50Z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